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vispl-my.sharepoint.com/personal/ct1858_avispl_com/Documents/Documents/Prices/2024/"/>
    </mc:Choice>
  </mc:AlternateContent>
  <xr:revisionPtr revIDLastSave="3" documentId="8_{1FEC1618-F25E-4512-B7A9-4D94C874D20E}" xr6:coauthVersionLast="47" xr6:coauthVersionMax="47" xr10:uidLastSave="{F8A8B9A0-A98F-4F42-8E20-672DCEC3C7DA}"/>
  <bookViews>
    <workbookView xWindow="-108" yWindow="-108" windowWidth="23256" windowHeight="12576" activeTab="1" xr2:uid="{00000000-000D-0000-FFFF-FFFF00000000}"/>
  </bookViews>
  <sheets>
    <sheet name="SKU and Price builder" sheetId="1" r:id="rId1"/>
    <sheet name="All SKUs" sheetId="2" r:id="rId2"/>
    <sheet name="SKU Decoder" sheetId="3" r:id="rId3"/>
    <sheet name="SKU Builder" sheetId="4" state="hidden" r:id="rId4"/>
    <sheet name="Input for bundle selection" sheetId="5" state="hidden" r:id="rId5"/>
  </sheets>
  <definedNames>
    <definedName name="_xlnm._FilterDatabase" localSheetId="1" hidden="1">'All SKUs'!$A$4:$AD$922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7" i="2" l="1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A75" i="5"/>
  <c r="A72" i="5"/>
  <c r="A68" i="5"/>
  <c r="A67" i="5"/>
  <c r="A66" i="5"/>
  <c r="A65" i="5"/>
  <c r="A64" i="5"/>
  <c r="A61" i="5"/>
  <c r="A60" i="5"/>
  <c r="A59" i="5"/>
  <c r="A58" i="5"/>
  <c r="A57" i="5"/>
  <c r="A54" i="5"/>
  <c r="A53" i="5"/>
  <c r="A52" i="5"/>
  <c r="A51" i="5"/>
  <c r="A50" i="5"/>
  <c r="A39" i="5"/>
  <c r="A36" i="5"/>
  <c r="A33" i="5"/>
  <c r="A32" i="5"/>
  <c r="A31" i="5"/>
  <c r="A30" i="5"/>
  <c r="A29" i="5"/>
  <c r="A26" i="5"/>
  <c r="A25" i="5"/>
  <c r="A24" i="5"/>
  <c r="A23" i="5"/>
  <c r="A22" i="5"/>
  <c r="A19" i="5"/>
  <c r="A18" i="5"/>
  <c r="A17" i="5"/>
  <c r="A16" i="5"/>
  <c r="A15" i="5"/>
  <c r="A12" i="5"/>
  <c r="A11" i="5"/>
  <c r="A7" i="5"/>
  <c r="A6" i="5"/>
  <c r="B13" i="3" a="1"/>
  <c r="B13" i="3"/>
  <c r="B12" i="3" a="1"/>
  <c r="B12" i="3"/>
  <c r="B11" i="3" a="1"/>
  <c r="B11" i="3"/>
  <c r="B10" i="3" a="1"/>
  <c r="B10" i="3"/>
  <c r="B9" i="3" a="1"/>
  <c r="B9" i="3"/>
  <c r="B8" i="3" a="1"/>
  <c r="B8" i="3"/>
  <c r="B7" i="3" a="1"/>
  <c r="B7" i="3"/>
  <c r="B6" i="3" a="1"/>
  <c r="B6" i="3"/>
  <c r="B5" i="3" a="1"/>
  <c r="B5" i="3"/>
  <c r="A225" i="2"/>
  <c r="A224" i="2"/>
  <c r="A223" i="2"/>
  <c r="A220" i="2"/>
  <c r="C219" i="2"/>
  <c r="B219" i="2"/>
  <c r="A219" i="2"/>
  <c r="A216" i="2"/>
  <c r="A215" i="2"/>
  <c r="A214" i="2"/>
  <c r="A213" i="2"/>
  <c r="A212" i="2"/>
  <c r="A211" i="2"/>
  <c r="A210" i="2"/>
  <c r="A209" i="2"/>
  <c r="A208" i="2"/>
  <c r="C207" i="2"/>
  <c r="A207" i="2"/>
  <c r="A206" i="2"/>
  <c r="C205" i="2"/>
  <c r="A205" i="2"/>
  <c r="A204" i="2"/>
  <c r="A203" i="2"/>
  <c r="A202" i="2"/>
  <c r="A201" i="2"/>
  <c r="A198" i="2"/>
  <c r="B197" i="2"/>
  <c r="A197" i="2"/>
  <c r="A196" i="2"/>
  <c r="B195" i="2"/>
  <c r="A195" i="2"/>
  <c r="A59" i="1" s="1"/>
  <c r="A194" i="2"/>
  <c r="B193" i="2"/>
  <c r="A193" i="2"/>
  <c r="A57" i="1" s="1"/>
  <c r="A190" i="2"/>
  <c r="C189" i="2"/>
  <c r="B189" i="2"/>
  <c r="A189" i="2"/>
  <c r="C188" i="2"/>
  <c r="A188" i="2"/>
  <c r="B187" i="2"/>
  <c r="A187" i="2"/>
  <c r="C186" i="2"/>
  <c r="A186" i="2"/>
  <c r="B185" i="2"/>
  <c r="A185" i="2"/>
  <c r="A182" i="2"/>
  <c r="A181" i="2"/>
  <c r="A180" i="2"/>
  <c r="N177" i="2"/>
  <c r="P177" i="2" s="1"/>
  <c r="M177" i="2"/>
  <c r="C177" i="2"/>
  <c r="B177" i="2"/>
  <c r="N176" i="2"/>
  <c r="P176" i="2" s="1"/>
  <c r="M176" i="2"/>
  <c r="C176" i="2"/>
  <c r="B176" i="2"/>
  <c r="N175" i="2"/>
  <c r="P175" i="2" s="1"/>
  <c r="M175" i="2"/>
  <c r="C175" i="2"/>
  <c r="B175" i="2"/>
  <c r="N174" i="2"/>
  <c r="P174" i="2" s="1"/>
  <c r="M174" i="2"/>
  <c r="C174" i="2"/>
  <c r="B174" i="2"/>
  <c r="N173" i="2"/>
  <c r="P173" i="2" s="1"/>
  <c r="M173" i="2"/>
  <c r="C173" i="2"/>
  <c r="C42" i="1" s="1"/>
  <c r="B173" i="2"/>
  <c r="N172" i="2"/>
  <c r="P172" i="2" s="1"/>
  <c r="M172" i="2"/>
  <c r="C172" i="2"/>
  <c r="B172" i="2"/>
  <c r="N171" i="2"/>
  <c r="P171" i="2" s="1"/>
  <c r="M171" i="2"/>
  <c r="C171" i="2"/>
  <c r="B171" i="2"/>
  <c r="N170" i="2"/>
  <c r="P170" i="2" s="1"/>
  <c r="M170" i="2"/>
  <c r="C170" i="2"/>
  <c r="B170" i="2"/>
  <c r="N169" i="2"/>
  <c r="P169" i="2" s="1"/>
  <c r="M169" i="2"/>
  <c r="C169" i="2"/>
  <c r="B169" i="2"/>
  <c r="N168" i="2"/>
  <c r="P168" i="2" s="1"/>
  <c r="M168" i="2"/>
  <c r="C168" i="2"/>
  <c r="B168" i="2"/>
  <c r="N167" i="2"/>
  <c r="P167" i="2" s="1"/>
  <c r="M167" i="2"/>
  <c r="C167" i="2"/>
  <c r="B167" i="2"/>
  <c r="N166" i="2"/>
  <c r="P166" i="2" s="1"/>
  <c r="M166" i="2"/>
  <c r="C166" i="2"/>
  <c r="B166" i="2"/>
  <c r="N165" i="2"/>
  <c r="P165" i="2" s="1"/>
  <c r="M165" i="2"/>
  <c r="C165" i="2"/>
  <c r="B165" i="2"/>
  <c r="N164" i="2"/>
  <c r="P164" i="2" s="1"/>
  <c r="M164" i="2"/>
  <c r="C164" i="2"/>
  <c r="B164" i="2"/>
  <c r="N163" i="2"/>
  <c r="P163" i="2" s="1"/>
  <c r="M163" i="2"/>
  <c r="C163" i="2"/>
  <c r="B163" i="2"/>
  <c r="N162" i="2"/>
  <c r="P162" i="2" s="1"/>
  <c r="M162" i="2"/>
  <c r="C162" i="2"/>
  <c r="B162" i="2"/>
  <c r="N161" i="2"/>
  <c r="P161" i="2" s="1"/>
  <c r="M161" i="2"/>
  <c r="C161" i="2"/>
  <c r="B161" i="2"/>
  <c r="N160" i="2"/>
  <c r="P160" i="2" s="1"/>
  <c r="M160" i="2"/>
  <c r="C160" i="2"/>
  <c r="B160" i="2"/>
  <c r="N159" i="2"/>
  <c r="P159" i="2" s="1"/>
  <c r="M159" i="2"/>
  <c r="C159" i="2"/>
  <c r="B159" i="2"/>
  <c r="N158" i="2"/>
  <c r="P158" i="2" s="1"/>
  <c r="M158" i="2"/>
  <c r="C158" i="2"/>
  <c r="B158" i="2"/>
  <c r="N157" i="2"/>
  <c r="P157" i="2" s="1"/>
  <c r="M157" i="2"/>
  <c r="C157" i="2"/>
  <c r="B157" i="2"/>
  <c r="N156" i="2"/>
  <c r="P156" i="2" s="1"/>
  <c r="M156" i="2"/>
  <c r="C156" i="2"/>
  <c r="B156" i="2"/>
  <c r="N155" i="2"/>
  <c r="P155" i="2" s="1"/>
  <c r="M155" i="2"/>
  <c r="C155" i="2"/>
  <c r="B155" i="2"/>
  <c r="N154" i="2"/>
  <c r="P154" i="2" s="1"/>
  <c r="M154" i="2"/>
  <c r="C154" i="2"/>
  <c r="B154" i="2"/>
  <c r="N153" i="2"/>
  <c r="P153" i="2" s="1"/>
  <c r="M153" i="2"/>
  <c r="C153" i="2"/>
  <c r="B153" i="2"/>
  <c r="N152" i="2"/>
  <c r="P152" i="2" s="1"/>
  <c r="M152" i="2"/>
  <c r="C152" i="2"/>
  <c r="B152" i="2"/>
  <c r="N151" i="2"/>
  <c r="P151" i="2" s="1"/>
  <c r="M151" i="2"/>
  <c r="C151" i="2"/>
  <c r="B151" i="2"/>
  <c r="N150" i="2"/>
  <c r="P150" i="2" s="1"/>
  <c r="M150" i="2"/>
  <c r="C150" i="2"/>
  <c r="B150" i="2"/>
  <c r="N149" i="2"/>
  <c r="P149" i="2" s="1"/>
  <c r="M149" i="2"/>
  <c r="C149" i="2"/>
  <c r="B149" i="2"/>
  <c r="N148" i="2"/>
  <c r="P148" i="2" s="1"/>
  <c r="M148" i="2"/>
  <c r="C148" i="2"/>
  <c r="B148" i="2"/>
  <c r="N147" i="2"/>
  <c r="P147" i="2" s="1"/>
  <c r="M147" i="2"/>
  <c r="C147" i="2"/>
  <c r="B147" i="2"/>
  <c r="N146" i="2"/>
  <c r="P146" i="2" s="1"/>
  <c r="M146" i="2"/>
  <c r="C146" i="2"/>
  <c r="B146" i="2"/>
  <c r="N145" i="2"/>
  <c r="P145" i="2" s="1"/>
  <c r="M145" i="2"/>
  <c r="C145" i="2"/>
  <c r="B145" i="2"/>
  <c r="N144" i="2"/>
  <c r="P144" i="2" s="1"/>
  <c r="M144" i="2"/>
  <c r="C144" i="2"/>
  <c r="B144" i="2"/>
  <c r="N143" i="2"/>
  <c r="P143" i="2" s="1"/>
  <c r="M143" i="2"/>
  <c r="C143" i="2"/>
  <c r="B143" i="2"/>
  <c r="N142" i="2"/>
  <c r="P142" i="2" s="1"/>
  <c r="M142" i="2"/>
  <c r="C142" i="2"/>
  <c r="B142" i="2"/>
  <c r="N141" i="2"/>
  <c r="P141" i="2" s="1"/>
  <c r="M141" i="2"/>
  <c r="C141" i="2"/>
  <c r="B141" i="2"/>
  <c r="N140" i="2"/>
  <c r="P140" i="2" s="1"/>
  <c r="M140" i="2"/>
  <c r="C140" i="2"/>
  <c r="B140" i="2"/>
  <c r="N139" i="2"/>
  <c r="P139" i="2" s="1"/>
  <c r="M139" i="2"/>
  <c r="C139" i="2"/>
  <c r="B139" i="2"/>
  <c r="N138" i="2"/>
  <c r="P138" i="2" s="1"/>
  <c r="M138" i="2"/>
  <c r="C138" i="2"/>
  <c r="B138" i="2"/>
  <c r="N137" i="2"/>
  <c r="P137" i="2" s="1"/>
  <c r="M137" i="2"/>
  <c r="C137" i="2"/>
  <c r="B137" i="2"/>
  <c r="N136" i="2"/>
  <c r="P136" i="2" s="1"/>
  <c r="M136" i="2"/>
  <c r="C136" i="2"/>
  <c r="B136" i="2"/>
  <c r="N135" i="2"/>
  <c r="P135" i="2" s="1"/>
  <c r="M135" i="2"/>
  <c r="C135" i="2"/>
  <c r="B135" i="2"/>
  <c r="N134" i="2"/>
  <c r="P134" i="2" s="1"/>
  <c r="M134" i="2"/>
  <c r="C134" i="2"/>
  <c r="B134" i="2"/>
  <c r="N133" i="2"/>
  <c r="P133" i="2" s="1"/>
  <c r="M133" i="2"/>
  <c r="C133" i="2"/>
  <c r="B133" i="2"/>
  <c r="N132" i="2"/>
  <c r="P132" i="2" s="1"/>
  <c r="M132" i="2"/>
  <c r="C132" i="2"/>
  <c r="B132" i="2"/>
  <c r="N131" i="2"/>
  <c r="P131" i="2" s="1"/>
  <c r="M131" i="2"/>
  <c r="C131" i="2"/>
  <c r="B131" i="2"/>
  <c r="N130" i="2"/>
  <c r="P130" i="2" s="1"/>
  <c r="M130" i="2"/>
  <c r="C130" i="2"/>
  <c r="B130" i="2"/>
  <c r="N129" i="2"/>
  <c r="P129" i="2" s="1"/>
  <c r="M129" i="2"/>
  <c r="C129" i="2"/>
  <c r="B129" i="2"/>
  <c r="N128" i="2"/>
  <c r="P128" i="2" s="1"/>
  <c r="M128" i="2"/>
  <c r="C128" i="2"/>
  <c r="B128" i="2"/>
  <c r="N127" i="2"/>
  <c r="P127" i="2" s="1"/>
  <c r="M127" i="2"/>
  <c r="C127" i="2"/>
  <c r="B127" i="2"/>
  <c r="N126" i="2"/>
  <c r="P126" i="2" s="1"/>
  <c r="M126" i="2"/>
  <c r="C126" i="2"/>
  <c r="B126" i="2"/>
  <c r="N125" i="2"/>
  <c r="P125" i="2" s="1"/>
  <c r="M125" i="2"/>
  <c r="C125" i="2"/>
  <c r="B125" i="2"/>
  <c r="N124" i="2"/>
  <c r="P124" i="2" s="1"/>
  <c r="M124" i="2"/>
  <c r="C124" i="2"/>
  <c r="B124" i="2"/>
  <c r="N123" i="2"/>
  <c r="P123" i="2" s="1"/>
  <c r="M123" i="2"/>
  <c r="C123" i="2"/>
  <c r="B123" i="2"/>
  <c r="N122" i="2"/>
  <c r="P122" i="2" s="1"/>
  <c r="M122" i="2"/>
  <c r="C122" i="2"/>
  <c r="B122" i="2"/>
  <c r="N121" i="2"/>
  <c r="P121" i="2" s="1"/>
  <c r="M121" i="2"/>
  <c r="C121" i="2"/>
  <c r="B121" i="2"/>
  <c r="N120" i="2"/>
  <c r="P120" i="2" s="1"/>
  <c r="M120" i="2"/>
  <c r="C120" i="2"/>
  <c r="B120" i="2"/>
  <c r="N119" i="2"/>
  <c r="P119" i="2" s="1"/>
  <c r="M119" i="2"/>
  <c r="C119" i="2"/>
  <c r="B119" i="2"/>
  <c r="N118" i="2"/>
  <c r="P118" i="2" s="1"/>
  <c r="M118" i="2"/>
  <c r="C118" i="2"/>
  <c r="B118" i="2"/>
  <c r="N117" i="2"/>
  <c r="P117" i="2" s="1"/>
  <c r="M117" i="2"/>
  <c r="C117" i="2"/>
  <c r="B117" i="2"/>
  <c r="N116" i="2"/>
  <c r="P116" i="2" s="1"/>
  <c r="M116" i="2"/>
  <c r="C116" i="2"/>
  <c r="B116" i="2"/>
  <c r="N115" i="2"/>
  <c r="P115" i="2" s="1"/>
  <c r="M115" i="2"/>
  <c r="C115" i="2"/>
  <c r="B115" i="2"/>
  <c r="N114" i="2"/>
  <c r="P114" i="2" s="1"/>
  <c r="M114" i="2"/>
  <c r="C114" i="2"/>
  <c r="B114" i="2"/>
  <c r="N113" i="2"/>
  <c r="P113" i="2" s="1"/>
  <c r="M113" i="2"/>
  <c r="C113" i="2"/>
  <c r="B113" i="2"/>
  <c r="N112" i="2"/>
  <c r="P112" i="2" s="1"/>
  <c r="M112" i="2"/>
  <c r="C112" i="2"/>
  <c r="B112" i="2"/>
  <c r="N111" i="2"/>
  <c r="P111" i="2" s="1"/>
  <c r="M111" i="2"/>
  <c r="C111" i="2"/>
  <c r="B111" i="2"/>
  <c r="N110" i="2"/>
  <c r="P110" i="2" s="1"/>
  <c r="M110" i="2"/>
  <c r="C110" i="2"/>
  <c r="B110" i="2"/>
  <c r="N109" i="2"/>
  <c r="P109" i="2" s="1"/>
  <c r="M109" i="2"/>
  <c r="C109" i="2"/>
  <c r="B109" i="2"/>
  <c r="N108" i="2"/>
  <c r="P108" i="2" s="1"/>
  <c r="M108" i="2"/>
  <c r="C108" i="2"/>
  <c r="B108" i="2"/>
  <c r="N107" i="2"/>
  <c r="P107" i="2" s="1"/>
  <c r="M107" i="2"/>
  <c r="C107" i="2"/>
  <c r="B107" i="2"/>
  <c r="N106" i="2"/>
  <c r="P106" i="2" s="1"/>
  <c r="M106" i="2"/>
  <c r="C106" i="2"/>
  <c r="B106" i="2"/>
  <c r="N105" i="2"/>
  <c r="P105" i="2" s="1"/>
  <c r="M105" i="2"/>
  <c r="C105" i="2"/>
  <c r="B105" i="2"/>
  <c r="N104" i="2"/>
  <c r="P104" i="2" s="1"/>
  <c r="M104" i="2"/>
  <c r="C104" i="2"/>
  <c r="B104" i="2"/>
  <c r="N103" i="2"/>
  <c r="P103" i="2" s="1"/>
  <c r="M103" i="2"/>
  <c r="C103" i="2"/>
  <c r="B103" i="2"/>
  <c r="N102" i="2"/>
  <c r="P102" i="2" s="1"/>
  <c r="M102" i="2"/>
  <c r="C102" i="2"/>
  <c r="B102" i="2"/>
  <c r="N101" i="2"/>
  <c r="P101" i="2" s="1"/>
  <c r="M101" i="2"/>
  <c r="C101" i="2"/>
  <c r="B101" i="2"/>
  <c r="N100" i="2"/>
  <c r="P100" i="2" s="1"/>
  <c r="M100" i="2"/>
  <c r="C100" i="2"/>
  <c r="B100" i="2"/>
  <c r="N99" i="2"/>
  <c r="P99" i="2" s="1"/>
  <c r="M99" i="2"/>
  <c r="C99" i="2"/>
  <c r="B99" i="2"/>
  <c r="N98" i="2"/>
  <c r="P98" i="2" s="1"/>
  <c r="M98" i="2"/>
  <c r="C98" i="2"/>
  <c r="B98" i="2"/>
  <c r="N97" i="2"/>
  <c r="P97" i="2" s="1"/>
  <c r="M97" i="2"/>
  <c r="C97" i="2"/>
  <c r="B97" i="2"/>
  <c r="B34" i="1" s="1"/>
  <c r="N96" i="2"/>
  <c r="P96" i="2" s="1"/>
  <c r="M96" i="2"/>
  <c r="C96" i="2"/>
  <c r="B96" i="2"/>
  <c r="N95" i="2"/>
  <c r="P95" i="2" s="1"/>
  <c r="M95" i="2"/>
  <c r="C95" i="2"/>
  <c r="B95" i="2"/>
  <c r="N94" i="2"/>
  <c r="P94" i="2" s="1"/>
  <c r="M94" i="2"/>
  <c r="C94" i="2"/>
  <c r="B94" i="2"/>
  <c r="N93" i="2"/>
  <c r="P93" i="2" s="1"/>
  <c r="M93" i="2"/>
  <c r="C93" i="2"/>
  <c r="B93" i="2"/>
  <c r="N92" i="2"/>
  <c r="P92" i="2" s="1"/>
  <c r="M92" i="2"/>
  <c r="C92" i="2"/>
  <c r="B92" i="2"/>
  <c r="N91" i="2"/>
  <c r="P91" i="2" s="1"/>
  <c r="M91" i="2"/>
  <c r="C91" i="2"/>
  <c r="B91" i="2"/>
  <c r="N90" i="2"/>
  <c r="P90" i="2" s="1"/>
  <c r="M90" i="2"/>
  <c r="C90" i="2"/>
  <c r="B90" i="2"/>
  <c r="N89" i="2"/>
  <c r="P89" i="2" s="1"/>
  <c r="M89" i="2"/>
  <c r="C89" i="2"/>
  <c r="B89" i="2"/>
  <c r="N88" i="2"/>
  <c r="P88" i="2" s="1"/>
  <c r="M88" i="2"/>
  <c r="C88" i="2"/>
  <c r="B88" i="2"/>
  <c r="N87" i="2"/>
  <c r="P87" i="2" s="1"/>
  <c r="M87" i="2"/>
  <c r="C87" i="2"/>
  <c r="B87" i="2"/>
  <c r="N86" i="2"/>
  <c r="P86" i="2" s="1"/>
  <c r="M86" i="2"/>
  <c r="C86" i="2"/>
  <c r="B86" i="2"/>
  <c r="N85" i="2"/>
  <c r="P85" i="2" s="1"/>
  <c r="M85" i="2"/>
  <c r="C85" i="2"/>
  <c r="B85" i="2"/>
  <c r="N84" i="2"/>
  <c r="P84" i="2" s="1"/>
  <c r="M84" i="2"/>
  <c r="C84" i="2"/>
  <c r="B84" i="2"/>
  <c r="N83" i="2"/>
  <c r="P83" i="2" s="1"/>
  <c r="M83" i="2"/>
  <c r="C83" i="2"/>
  <c r="B83" i="2"/>
  <c r="N82" i="2"/>
  <c r="P82" i="2" s="1"/>
  <c r="M82" i="2"/>
  <c r="C82" i="2"/>
  <c r="B82" i="2"/>
  <c r="N81" i="2"/>
  <c r="P81" i="2" s="1"/>
  <c r="M81" i="2"/>
  <c r="C81" i="2"/>
  <c r="B81" i="2"/>
  <c r="N80" i="2"/>
  <c r="P80" i="2" s="1"/>
  <c r="M80" i="2"/>
  <c r="C80" i="2"/>
  <c r="B80" i="2"/>
  <c r="N79" i="2"/>
  <c r="P79" i="2" s="1"/>
  <c r="M79" i="2"/>
  <c r="C79" i="2"/>
  <c r="B79" i="2"/>
  <c r="N78" i="2"/>
  <c r="P78" i="2" s="1"/>
  <c r="M78" i="2"/>
  <c r="C78" i="2"/>
  <c r="B78" i="2"/>
  <c r="N77" i="2"/>
  <c r="P77" i="2" s="1"/>
  <c r="M77" i="2"/>
  <c r="C77" i="2"/>
  <c r="B77" i="2"/>
  <c r="N76" i="2"/>
  <c r="P76" i="2" s="1"/>
  <c r="M76" i="2"/>
  <c r="C76" i="2"/>
  <c r="B76" i="2"/>
  <c r="N75" i="2"/>
  <c r="P75" i="2" s="1"/>
  <c r="M75" i="2"/>
  <c r="C75" i="2"/>
  <c r="B75" i="2"/>
  <c r="N74" i="2"/>
  <c r="P74" i="2" s="1"/>
  <c r="M74" i="2"/>
  <c r="C74" i="2"/>
  <c r="B74" i="2"/>
  <c r="N73" i="2"/>
  <c r="P73" i="2" s="1"/>
  <c r="M73" i="2"/>
  <c r="C73" i="2"/>
  <c r="B73" i="2"/>
  <c r="N72" i="2"/>
  <c r="P72" i="2" s="1"/>
  <c r="M72" i="2"/>
  <c r="C72" i="2"/>
  <c r="B72" i="2"/>
  <c r="N71" i="2"/>
  <c r="P71" i="2" s="1"/>
  <c r="M71" i="2"/>
  <c r="C71" i="2"/>
  <c r="B71" i="2"/>
  <c r="N70" i="2"/>
  <c r="P70" i="2" s="1"/>
  <c r="M70" i="2"/>
  <c r="C70" i="2"/>
  <c r="B70" i="2"/>
  <c r="N69" i="2"/>
  <c r="P69" i="2" s="1"/>
  <c r="M69" i="2"/>
  <c r="C69" i="2"/>
  <c r="B69" i="2"/>
  <c r="N68" i="2"/>
  <c r="P68" i="2" s="1"/>
  <c r="M68" i="2"/>
  <c r="C68" i="2"/>
  <c r="B68" i="2"/>
  <c r="N67" i="2"/>
  <c r="P67" i="2" s="1"/>
  <c r="M67" i="2"/>
  <c r="C67" i="2"/>
  <c r="B67" i="2"/>
  <c r="N66" i="2"/>
  <c r="P66" i="2" s="1"/>
  <c r="M66" i="2"/>
  <c r="C66" i="2"/>
  <c r="B66" i="2"/>
  <c r="N65" i="2"/>
  <c r="P65" i="2" s="1"/>
  <c r="M65" i="2"/>
  <c r="C65" i="2"/>
  <c r="B65" i="2"/>
  <c r="N64" i="2"/>
  <c r="P64" i="2" s="1"/>
  <c r="M64" i="2"/>
  <c r="C64" i="2"/>
  <c r="B64" i="2"/>
  <c r="N63" i="2"/>
  <c r="P63" i="2" s="1"/>
  <c r="M63" i="2"/>
  <c r="C63" i="2"/>
  <c r="B63" i="2"/>
  <c r="N62" i="2"/>
  <c r="P62" i="2" s="1"/>
  <c r="M62" i="2"/>
  <c r="C62" i="2"/>
  <c r="B62" i="2"/>
  <c r="N61" i="2"/>
  <c r="P61" i="2" s="1"/>
  <c r="M61" i="2"/>
  <c r="C61" i="2"/>
  <c r="B61" i="2"/>
  <c r="N60" i="2"/>
  <c r="P60" i="2" s="1"/>
  <c r="M60" i="2"/>
  <c r="C60" i="2"/>
  <c r="B60" i="2"/>
  <c r="N59" i="2"/>
  <c r="P59" i="2" s="1"/>
  <c r="M59" i="2"/>
  <c r="C59" i="2"/>
  <c r="B59" i="2"/>
  <c r="N58" i="2"/>
  <c r="P58" i="2" s="1"/>
  <c r="M58" i="2"/>
  <c r="C58" i="2"/>
  <c r="B58" i="2"/>
  <c r="N57" i="2"/>
  <c r="P57" i="2" s="1"/>
  <c r="M57" i="2"/>
  <c r="C57" i="2"/>
  <c r="B57" i="2"/>
  <c r="N56" i="2"/>
  <c r="P56" i="2" s="1"/>
  <c r="M56" i="2"/>
  <c r="C56" i="2"/>
  <c r="B56" i="2"/>
  <c r="N55" i="2"/>
  <c r="P55" i="2" s="1"/>
  <c r="M55" i="2"/>
  <c r="C55" i="2"/>
  <c r="B55" i="2"/>
  <c r="N54" i="2"/>
  <c r="P54" i="2" s="1"/>
  <c r="M54" i="2"/>
  <c r="C54" i="2"/>
  <c r="B54" i="2"/>
  <c r="N53" i="2"/>
  <c r="P53" i="2" s="1"/>
  <c r="M53" i="2"/>
  <c r="C53" i="2"/>
  <c r="B53" i="2"/>
  <c r="N52" i="2"/>
  <c r="P52" i="2" s="1"/>
  <c r="M52" i="2"/>
  <c r="C52" i="2"/>
  <c r="B52" i="2"/>
  <c r="N51" i="2"/>
  <c r="P51" i="2" s="1"/>
  <c r="M51" i="2"/>
  <c r="C51" i="2"/>
  <c r="B51" i="2"/>
  <c r="N50" i="2"/>
  <c r="P50" i="2" s="1"/>
  <c r="M50" i="2"/>
  <c r="C50" i="2"/>
  <c r="B50" i="2"/>
  <c r="N49" i="2"/>
  <c r="P49" i="2" s="1"/>
  <c r="M49" i="2"/>
  <c r="C49" i="2"/>
  <c r="B49" i="2"/>
  <c r="N48" i="2"/>
  <c r="P48" i="2" s="1"/>
  <c r="M48" i="2"/>
  <c r="C48" i="2"/>
  <c r="B48" i="2"/>
  <c r="N47" i="2"/>
  <c r="P47" i="2" s="1"/>
  <c r="M47" i="2"/>
  <c r="C47" i="2"/>
  <c r="B47" i="2"/>
  <c r="N46" i="2"/>
  <c r="P46" i="2" s="1"/>
  <c r="M46" i="2"/>
  <c r="C46" i="2"/>
  <c r="B46" i="2"/>
  <c r="N45" i="2"/>
  <c r="P45" i="2" s="1"/>
  <c r="M45" i="2"/>
  <c r="C45" i="2"/>
  <c r="B45" i="2"/>
  <c r="N44" i="2"/>
  <c r="P44" i="2" s="1"/>
  <c r="M44" i="2"/>
  <c r="C44" i="2"/>
  <c r="B44" i="2"/>
  <c r="N43" i="2"/>
  <c r="P43" i="2" s="1"/>
  <c r="M43" i="2"/>
  <c r="C43" i="2"/>
  <c r="B43" i="2"/>
  <c r="N42" i="2"/>
  <c r="P42" i="2" s="1"/>
  <c r="M42" i="2"/>
  <c r="C42" i="2"/>
  <c r="B42" i="2"/>
  <c r="N41" i="2"/>
  <c r="P41" i="2" s="1"/>
  <c r="M41" i="2"/>
  <c r="C41" i="2"/>
  <c r="B41" i="2"/>
  <c r="N40" i="2"/>
  <c r="P40" i="2" s="1"/>
  <c r="M40" i="2"/>
  <c r="C40" i="2"/>
  <c r="C40" i="1" s="1"/>
  <c r="B40" i="2"/>
  <c r="N39" i="2"/>
  <c r="P39" i="2" s="1"/>
  <c r="M39" i="2"/>
  <c r="C39" i="2"/>
  <c r="B39" i="2"/>
  <c r="N38" i="2"/>
  <c r="P38" i="2" s="1"/>
  <c r="M38" i="2"/>
  <c r="C38" i="2"/>
  <c r="B38" i="2"/>
  <c r="N37" i="2"/>
  <c r="P37" i="2" s="1"/>
  <c r="M37" i="2"/>
  <c r="C37" i="2"/>
  <c r="B37" i="2"/>
  <c r="N36" i="2"/>
  <c r="P36" i="2" s="1"/>
  <c r="M36" i="2"/>
  <c r="C36" i="2"/>
  <c r="B36" i="2"/>
  <c r="N35" i="2"/>
  <c r="P35" i="2" s="1"/>
  <c r="M35" i="2"/>
  <c r="C35" i="2"/>
  <c r="B35" i="2"/>
  <c r="N34" i="2"/>
  <c r="P34" i="2" s="1"/>
  <c r="M34" i="2"/>
  <c r="C34" i="2"/>
  <c r="B34" i="2"/>
  <c r="N33" i="2"/>
  <c r="P33" i="2" s="1"/>
  <c r="M33" i="2"/>
  <c r="C33" i="2"/>
  <c r="B33" i="2"/>
  <c r="N32" i="2"/>
  <c r="P32" i="2" s="1"/>
  <c r="M32" i="2"/>
  <c r="C32" i="2"/>
  <c r="B32" i="2"/>
  <c r="N31" i="2"/>
  <c r="P31" i="2" s="1"/>
  <c r="M31" i="2"/>
  <c r="C31" i="2"/>
  <c r="B31" i="2"/>
  <c r="N30" i="2"/>
  <c r="P30" i="2" s="1"/>
  <c r="M30" i="2"/>
  <c r="C30" i="2"/>
  <c r="B30" i="2"/>
  <c r="N29" i="2"/>
  <c r="P29" i="2" s="1"/>
  <c r="M29" i="2"/>
  <c r="C29" i="2"/>
  <c r="B29" i="2"/>
  <c r="N28" i="2"/>
  <c r="P28" i="2" s="1"/>
  <c r="M28" i="2"/>
  <c r="C28" i="2"/>
  <c r="B28" i="2"/>
  <c r="N27" i="2"/>
  <c r="P27" i="2" s="1"/>
  <c r="M27" i="2"/>
  <c r="C27" i="2"/>
  <c r="B27" i="2"/>
  <c r="N26" i="2"/>
  <c r="P26" i="2" s="1"/>
  <c r="M26" i="2"/>
  <c r="C26" i="2"/>
  <c r="B26" i="2"/>
  <c r="N25" i="2"/>
  <c r="P25" i="2" s="1"/>
  <c r="M25" i="2"/>
  <c r="C25" i="2"/>
  <c r="B25" i="2"/>
  <c r="N24" i="2"/>
  <c r="P24" i="2" s="1"/>
  <c r="M24" i="2"/>
  <c r="C24" i="2"/>
  <c r="B24" i="2"/>
  <c r="N23" i="2"/>
  <c r="P23" i="2" s="1"/>
  <c r="M23" i="2"/>
  <c r="C23" i="2"/>
  <c r="B23" i="2"/>
  <c r="N22" i="2"/>
  <c r="P22" i="2" s="1"/>
  <c r="M22" i="2"/>
  <c r="C22" i="2"/>
  <c r="B22" i="2"/>
  <c r="N21" i="2"/>
  <c r="P21" i="2" s="1"/>
  <c r="M21" i="2"/>
  <c r="C21" i="2"/>
  <c r="B21" i="2"/>
  <c r="N20" i="2"/>
  <c r="P20" i="2" s="1"/>
  <c r="M20" i="2"/>
  <c r="C20" i="2"/>
  <c r="B20" i="2"/>
  <c r="N19" i="2"/>
  <c r="P19" i="2" s="1"/>
  <c r="M19" i="2"/>
  <c r="C19" i="2"/>
  <c r="B19" i="2"/>
  <c r="N18" i="2"/>
  <c r="P18" i="2" s="1"/>
  <c r="M18" i="2"/>
  <c r="C18" i="2"/>
  <c r="B18" i="2"/>
  <c r="N17" i="2"/>
  <c r="P17" i="2" s="1"/>
  <c r="M17" i="2"/>
  <c r="C17" i="2"/>
  <c r="B17" i="2"/>
  <c r="N16" i="2"/>
  <c r="P16" i="2" s="1"/>
  <c r="M16" i="2"/>
  <c r="C16" i="2"/>
  <c r="B16" i="2"/>
  <c r="N15" i="2"/>
  <c r="P15" i="2" s="1"/>
  <c r="M15" i="2"/>
  <c r="C15" i="2"/>
  <c r="B15" i="2"/>
  <c r="N14" i="2"/>
  <c r="P14" i="2" s="1"/>
  <c r="M14" i="2"/>
  <c r="C14" i="2"/>
  <c r="B14" i="2"/>
  <c r="N13" i="2"/>
  <c r="P13" i="2" s="1"/>
  <c r="M13" i="2"/>
  <c r="C13" i="2"/>
  <c r="B13" i="2"/>
  <c r="N12" i="2"/>
  <c r="P12" i="2" s="1"/>
  <c r="M12" i="2"/>
  <c r="C12" i="2"/>
  <c r="B12" i="2"/>
  <c r="N11" i="2"/>
  <c r="P11" i="2" s="1"/>
  <c r="M11" i="2"/>
  <c r="C11" i="2"/>
  <c r="B11" i="2"/>
  <c r="N10" i="2"/>
  <c r="P10" i="2" s="1"/>
  <c r="M10" i="2"/>
  <c r="C10" i="2"/>
  <c r="C52" i="1" s="1"/>
  <c r="B10" i="2"/>
  <c r="N9" i="2"/>
  <c r="P9" i="2" s="1"/>
  <c r="M9" i="2"/>
  <c r="C9" i="2"/>
  <c r="B9" i="2"/>
  <c r="B48" i="1" s="1"/>
  <c r="N8" i="2"/>
  <c r="P8" i="2" s="1"/>
  <c r="M8" i="2"/>
  <c r="C8" i="2"/>
  <c r="B8" i="2"/>
  <c r="N7" i="2"/>
  <c r="P7" i="2" s="1"/>
  <c r="M7" i="2"/>
  <c r="C7" i="2"/>
  <c r="B7" i="2"/>
  <c r="N6" i="2"/>
  <c r="P6" i="2" s="1"/>
  <c r="M6" i="2"/>
  <c r="C6" i="2"/>
  <c r="B6" i="2"/>
  <c r="R3" i="2"/>
  <c r="Q3" i="2"/>
  <c r="R2" i="2"/>
  <c r="Q2" i="2"/>
  <c r="O2" i="2"/>
  <c r="N2" i="2"/>
  <c r="M2" i="2"/>
  <c r="L2" i="2"/>
  <c r="K2" i="2"/>
  <c r="J2" i="2"/>
  <c r="I2" i="2"/>
  <c r="H2" i="2"/>
  <c r="G2" i="2"/>
  <c r="F2" i="2"/>
  <c r="E2" i="2"/>
  <c r="R1" i="2"/>
  <c r="Q1" i="2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D58" i="1"/>
  <c r="C58" i="1"/>
  <c r="B58" i="1"/>
  <c r="A58" i="1"/>
  <c r="D57" i="1"/>
  <c r="C57" i="1"/>
  <c r="B57" i="1"/>
  <c r="D52" i="1"/>
  <c r="B52" i="1"/>
  <c r="D50" i="1"/>
  <c r="C50" i="1"/>
  <c r="B50" i="1"/>
  <c r="D48" i="1"/>
  <c r="C48" i="1"/>
  <c r="D46" i="1"/>
  <c r="C46" i="1"/>
  <c r="B46" i="1"/>
  <c r="D44" i="1"/>
  <c r="C44" i="1"/>
  <c r="B44" i="1"/>
  <c r="D42" i="1"/>
  <c r="B42" i="1"/>
  <c r="D40" i="1"/>
  <c r="B40" i="1"/>
  <c r="D38" i="1"/>
  <c r="C38" i="1"/>
  <c r="B38" i="1"/>
  <c r="D37" i="1"/>
  <c r="C37" i="1"/>
  <c r="B37" i="1"/>
  <c r="D35" i="1"/>
  <c r="C35" i="1"/>
  <c r="B35" i="1"/>
  <c r="D34" i="1"/>
  <c r="C34" i="1"/>
  <c r="D32" i="1"/>
  <c r="C32" i="1"/>
  <c r="B32" i="1"/>
  <c r="D31" i="1"/>
  <c r="C31" i="1"/>
  <c r="B31" i="1"/>
  <c r="C24" i="1"/>
  <c r="D24" i="1" s="1"/>
  <c r="B24" i="1"/>
  <c r="A24" i="1"/>
  <c r="C23" i="1"/>
  <c r="D23" i="1" s="1"/>
  <c r="B23" i="1"/>
  <c r="A23" i="1"/>
  <c r="C22" i="1"/>
  <c r="D22" i="1" s="1"/>
  <c r="B22" i="1"/>
  <c r="A22" i="1"/>
  <c r="C21" i="1"/>
  <c r="D21" i="1" s="1"/>
  <c r="B21" i="1"/>
  <c r="A21" i="1"/>
  <c r="A14" i="1"/>
  <c r="A13" i="1"/>
  <c r="A12" i="1"/>
  <c r="A177" i="2" l="1"/>
  <c r="A176" i="2"/>
  <c r="A175" i="2"/>
  <c r="A38" i="1" s="1"/>
  <c r="A174" i="2"/>
  <c r="A173" i="2"/>
  <c r="A42" i="1" s="1"/>
  <c r="A172" i="2"/>
  <c r="A171" i="2"/>
  <c r="A170" i="2"/>
  <c r="A169" i="2"/>
  <c r="A168" i="2"/>
  <c r="A167" i="2"/>
  <c r="A166" i="2"/>
  <c r="A165" i="2"/>
  <c r="A35" i="1" s="1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32" i="1" s="1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46" i="1" s="1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37" i="1" s="1"/>
  <c r="A106" i="2"/>
  <c r="A105" i="2"/>
  <c r="A104" i="2"/>
  <c r="A103" i="2"/>
  <c r="A102" i="2"/>
  <c r="A101" i="2"/>
  <c r="A100" i="2"/>
  <c r="A99" i="2"/>
  <c r="A98" i="2"/>
  <c r="A97" i="2"/>
  <c r="A34" i="1" s="1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31" i="1" s="1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40" i="1" s="1"/>
  <c r="A39" i="2"/>
  <c r="A38" i="2"/>
  <c r="A44" i="1" s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50" i="1" s="1"/>
  <c r="A10" i="2"/>
  <c r="A52" i="1" s="1"/>
  <c r="A9" i="2"/>
  <c r="A48" i="1" s="1"/>
  <c r="A8" i="2"/>
  <c r="A7" i="2"/>
  <c r="A6" i="2"/>
  <c r="C190" i="2"/>
  <c r="C220" i="2"/>
</calcChain>
</file>

<file path=xl/sharedStrings.xml><?xml version="1.0" encoding="utf-8"?>
<sst xmlns="http://schemas.openxmlformats.org/spreadsheetml/2006/main" count="947" uniqueCount="240">
  <si>
    <t>Catchbox Partner Pricelist, USD</t>
  </si>
  <si>
    <t>expected effective date: 26.08.2024 - please note this is a draft version of the pricelist and until published on partner portal, all prices and SKUs can change. Thank you for understanding</t>
  </si>
  <si>
    <t>Select System</t>
  </si>
  <si>
    <t>mandatory</t>
  </si>
  <si>
    <t>Select Hub DSP receiver number of channels</t>
  </si>
  <si>
    <t>mandatory for Plus</t>
  </si>
  <si>
    <t>Network management, PoE and DANTE</t>
  </si>
  <si>
    <t>optional</t>
  </si>
  <si>
    <t>Select number of Cubes throwable microphones</t>
  </si>
  <si>
    <t>select at least one transmitter</t>
  </si>
  <si>
    <t>Select number of Clips lavalier microphones</t>
  </si>
  <si>
    <t>Select number of Sticks handheld microphones</t>
  </si>
  <si>
    <t>Cube charging pads (chargers always included)</t>
  </si>
  <si>
    <t>informative field on which chargers are included</t>
  </si>
  <si>
    <t>Clip and Stick dock chargers (chargers always included)</t>
  </si>
  <si>
    <t>Customization Transmitter 1</t>
  </si>
  <si>
    <t>mandatory to fill in all transmitter colors</t>
  </si>
  <si>
    <t>Add storage case</t>
  </si>
  <si>
    <t>Add Hub mounting kit</t>
  </si>
  <si>
    <t>Add 3-pin to XLR adapter pack</t>
  </si>
  <si>
    <t>OUTPUT - Your product:</t>
  </si>
  <si>
    <t>SKU</t>
  </si>
  <si>
    <t>Product Name</t>
  </si>
  <si>
    <t>Retail Price, $</t>
  </si>
  <si>
    <t>Partner Price, $</t>
  </si>
  <si>
    <t>*Please select all mandatory fileds to get full SKU and Name</t>
  </si>
  <si>
    <t>PRICELIST - SELECTED TOP BUNDLES</t>
  </si>
  <si>
    <t>Full product bundle can be found in the Complete SKU sheet</t>
  </si>
  <si>
    <t>Catchbox Plus Microphone Bundles</t>
  </si>
  <si>
    <t>Catchbox Cube Cover, Clip and Stick Jackets</t>
  </si>
  <si>
    <t>Bundle name</t>
  </si>
  <si>
    <t>Retail price, USD</t>
  </si>
  <si>
    <t>Plus
system 
bundles</t>
  </si>
  <si>
    <t>2ch</t>
  </si>
  <si>
    <t>2ch with netowrk &amp; dante</t>
  </si>
  <si>
    <t>4ch</t>
  </si>
  <si>
    <t>4ch with network &amp; dante</t>
  </si>
  <si>
    <t>Cube</t>
  </si>
  <si>
    <t>Clip</t>
  </si>
  <si>
    <t>Stick</t>
  </si>
  <si>
    <t>Cube charging base</t>
  </si>
  <si>
    <t>Single dock</t>
  </si>
  <si>
    <t>Dual dock</t>
  </si>
  <si>
    <t>Dock Bracket</t>
  </si>
  <si>
    <t>Standard - Red</t>
  </si>
  <si>
    <t>Custom Color</t>
  </si>
  <si>
    <t>Catchbox Plus System Bundles</t>
  </si>
  <si>
    <t>x</t>
  </si>
  <si>
    <t>Catchbox Plus Accessories</t>
  </si>
  <si>
    <t>Hub Mounting and Cable management kit</t>
  </si>
  <si>
    <t xml:space="preserve">Storage case for Catchbox Plus (stores up to 1 Cube and up to 4 Clip/Stick mics, Hub and chargers) </t>
  </si>
  <si>
    <t>3-pin to XLR adapter pack</t>
  </si>
  <si>
    <t xml:space="preserve">Catchbox Plus Separate system components (Hub not included) </t>
  </si>
  <si>
    <t>Catchbox Plus Cube incl charging base,  Custom</t>
  </si>
  <si>
    <t>Catchbox Plus Clip incl single dock charger and dock charger bracket, Custom</t>
  </si>
  <si>
    <t>Catchbox Plus Stick incl single dock charger and dock charger bracket, Custom</t>
  </si>
  <si>
    <t>Customizables</t>
  </si>
  <si>
    <t>Cover, Custom</t>
  </si>
  <si>
    <t>Clip Jacket, Custom</t>
  </si>
  <si>
    <t>Stick Jackets, Custom</t>
  </si>
  <si>
    <t>Catchbox Plus Spare parts</t>
  </si>
  <si>
    <t xml:space="preserve">Catchbox Plus Capsule (no cover, no charger) </t>
  </si>
  <si>
    <t xml:space="preserve">Catchbox Plus Clip (no jacket, no charger) </t>
  </si>
  <si>
    <t xml:space="preserve">Catchbox Plus Stick (no jackets, no charger) </t>
  </si>
  <si>
    <t>Catchbox Plus Hub DSP Receiver 2 channels (incl power supply)</t>
  </si>
  <si>
    <t>Catchbox Plus Hub DSP Receiver 2 channels with Networking and Dante (incl power supply)</t>
  </si>
  <si>
    <t>Catchbox Plus Hub DSP Receiver 4 channels (incl power supply)</t>
  </si>
  <si>
    <t>Catchbox Plus Hub DSP Receiver 4 channels with Networking and Dante (incl power supply)</t>
  </si>
  <si>
    <t>Catchbox Plus Cube Charging Base</t>
  </si>
  <si>
    <t>Catchbox Plus Clip/Stick Single Charging Docks (including dock bracket)</t>
  </si>
  <si>
    <t>Catchbox Plus Clip/Stick Dual Charging Docks (including dock bracket)</t>
  </si>
  <si>
    <t xml:space="preserve">Catchbox Plus Dock Bracket (mounting for charging dock) </t>
  </si>
  <si>
    <t xml:space="preserve">USB-C Power adapter (incl USB-C cable) </t>
  </si>
  <si>
    <t>USB-C to USB-C Cable</t>
  </si>
  <si>
    <t>Dock Daisy-chain USB-A to USB-C cable</t>
  </si>
  <si>
    <t>Lanyard for the Clip</t>
  </si>
  <si>
    <t>Foam Cap for Cube</t>
  </si>
  <si>
    <t>Bodypack Converter</t>
  </si>
  <si>
    <t>Bodypack Converter, Custom</t>
  </si>
  <si>
    <t>Bodypack Converter accessories and spare parts</t>
  </si>
  <si>
    <t>Bodypack Coverter Storage Case</t>
  </si>
  <si>
    <t>Bodypack Converter Cable with 4-pin mini-XLR (Shure)</t>
  </si>
  <si>
    <t>Bodypack Converter Cable with 3.5mm (Sennheiser)</t>
  </si>
  <si>
    <t>B0000000000000-C</t>
  </si>
  <si>
    <t>Bodypack Converter Cable Custom</t>
  </si>
  <si>
    <t>B0A00000000000-0</t>
  </si>
  <si>
    <t>Bodypack Converter Capsule (no cover)</t>
  </si>
  <si>
    <t>Paste SKU here:</t>
  </si>
  <si>
    <t>PDAABBAAC0AAFF-0</t>
  </si>
  <si>
    <t>Component name</t>
  </si>
  <si>
    <t>System name:</t>
  </si>
  <si>
    <t>Receiver type:</t>
  </si>
  <si>
    <t>Transmitter 1</t>
  </si>
  <si>
    <t>Transmitter 2</t>
  </si>
  <si>
    <t>Transmitter 3</t>
  </si>
  <si>
    <t>Transmitter 4</t>
  </si>
  <si>
    <t>Accessory 1</t>
  </si>
  <si>
    <t>Accessory 2</t>
  </si>
  <si>
    <t>Accessory 3</t>
  </si>
  <si>
    <t>Product family</t>
  </si>
  <si>
    <t>Catchbox Plus</t>
  </si>
  <si>
    <t>P</t>
  </si>
  <si>
    <t>B</t>
  </si>
  <si>
    <t>Cover</t>
  </si>
  <si>
    <t>C</t>
  </si>
  <si>
    <t>Clip Jacket</t>
  </si>
  <si>
    <t>J</t>
  </si>
  <si>
    <t>Stick Jacket</t>
  </si>
  <si>
    <t>S</t>
  </si>
  <si>
    <t>Alt name</t>
  </si>
  <si>
    <t>Product family - Legacy Accessories</t>
  </si>
  <si>
    <t>Y</t>
  </si>
  <si>
    <t>Product family - Accessories</t>
  </si>
  <si>
    <t>A</t>
  </si>
  <si>
    <t>Customer facing Bundle SKU value</t>
  </si>
  <si>
    <t>Customer facing</t>
  </si>
  <si>
    <t>Receiver types</t>
  </si>
  <si>
    <t xml:space="preserve">Transmitters </t>
  </si>
  <si>
    <t>Design</t>
  </si>
  <si>
    <t>Accessories</t>
  </si>
  <si>
    <t>w/o Hub</t>
  </si>
  <si>
    <t>Bodypack converter</t>
  </si>
  <si>
    <t>Cover Red</t>
  </si>
  <si>
    <t>Clip Jacket Red</t>
  </si>
  <si>
    <t>F</t>
  </si>
  <si>
    <t>Stick Jacket Red</t>
  </si>
  <si>
    <t>K</t>
  </si>
  <si>
    <t>Lavalier microphone (Legacy Plus)</t>
  </si>
  <si>
    <t>Stereo Cable set</t>
  </si>
  <si>
    <t>2 channel Hub DSP recever</t>
  </si>
  <si>
    <t>Hub 2-Ch (Aug 2024)</t>
  </si>
  <si>
    <t>Mod</t>
  </si>
  <si>
    <t>Cover Blue</t>
  </si>
  <si>
    <t>Clip Jacket Blue</t>
  </si>
  <si>
    <t>G</t>
  </si>
  <si>
    <t>Stick Jacket Blue</t>
  </si>
  <si>
    <t>L</t>
  </si>
  <si>
    <t>Network Module Gen1</t>
  </si>
  <si>
    <t>USB-C Power adapter (incl USB-C cable)</t>
  </si>
  <si>
    <t>2 channel Hub DSP recever with Networking and DANTE</t>
  </si>
  <si>
    <t>Hub 2-Ch Pro (Aug 2024)</t>
  </si>
  <si>
    <t>Cover Yellow</t>
  </si>
  <si>
    <t>Clip Jacket Yellow</t>
  </si>
  <si>
    <t>H</t>
  </si>
  <si>
    <t>Stick Jacket Yellow</t>
  </si>
  <si>
    <t>M</t>
  </si>
  <si>
    <t>Power supply country adapter US (Gen1 PWR Supply)</t>
  </si>
  <si>
    <t>4 channel Hub DSP recever</t>
  </si>
  <si>
    <t>Hub 4-Ch (Aug 2024)</t>
  </si>
  <si>
    <t>Cover Navy</t>
  </si>
  <si>
    <t>D</t>
  </si>
  <si>
    <t>Clip Jacket Navy</t>
  </si>
  <si>
    <t>I</t>
  </si>
  <si>
    <t>Stick Jacket Navy</t>
  </si>
  <si>
    <t>N</t>
  </si>
  <si>
    <t>Power supply country adapter EU (Gen1 PWR Supply)</t>
  </si>
  <si>
    <t>Stick as accessory</t>
  </si>
  <si>
    <t>4 channel Hub DSP recever with Networking and DANTE</t>
  </si>
  <si>
    <t>Hub 4-Ch Pro (Aug 2024)</t>
  </si>
  <si>
    <t>w/o Design items</t>
  </si>
  <si>
    <t>Cover Custom</t>
  </si>
  <si>
    <t>E</t>
  </si>
  <si>
    <t>Clip Jacket Custom</t>
  </si>
  <si>
    <t>Stick Jacket Custom</t>
  </si>
  <si>
    <t>O</t>
  </si>
  <si>
    <t>Power supply country adapter UK (Gen1 PWR Supply)</t>
  </si>
  <si>
    <t>Network Module Gen2</t>
  </si>
  <si>
    <t>Hub Gen1 (Aug 2022-Aug 2024)</t>
  </si>
  <si>
    <t>Power supply country adapter AUS (Gen1 PWR Supply)</t>
  </si>
  <si>
    <t>Hub Pro Gen1 (Aug 2022-Aug 2024)</t>
  </si>
  <si>
    <t>Standard - Blue</t>
  </si>
  <si>
    <t>Cube battery</t>
  </si>
  <si>
    <t xml:space="preserve">Legacy Plus Receiver (Pre 2022) </t>
  </si>
  <si>
    <t>Standard - Yellow</t>
  </si>
  <si>
    <t>Clip battery</t>
  </si>
  <si>
    <t>Standard - Navy</t>
  </si>
  <si>
    <t>Power supply country adapter EU (Gen2 PWR Supply)</t>
  </si>
  <si>
    <t>Transmitter types</t>
  </si>
  <si>
    <t>Power supply country adapter UK (Gen2 PWR Supply)</t>
  </si>
  <si>
    <t>w/o TX's</t>
  </si>
  <si>
    <t>Power supply country adapter AUS (Gen2 PWR Supply)</t>
  </si>
  <si>
    <t>Cube (Aug 2024)</t>
  </si>
  <si>
    <t>Single Charging Dock w/o Bracket</t>
  </si>
  <si>
    <t>Clip (Aug 2024)</t>
  </si>
  <si>
    <t>Dual Charging Dock w/o Bracket</t>
  </si>
  <si>
    <t>Stick (Aug 2024)</t>
  </si>
  <si>
    <t>Bodypack Module Cable with 4-pin mini-XLR (Shure)</t>
  </si>
  <si>
    <t>Cube (Aug 2022-Aug 2024)</t>
  </si>
  <si>
    <t>Bodypack Module  Cable with 3.5mm (Sennheiser)</t>
  </si>
  <si>
    <t>Clip (Aug 2022-Aug 2024)</t>
  </si>
  <si>
    <t>Bodypack Module Storage Case</t>
  </si>
  <si>
    <t>Bracket for Charging Docks</t>
  </si>
  <si>
    <t>Legacy Plus Capsule</t>
  </si>
  <si>
    <t>Cable with 3-pin mini-XLR (AKG)</t>
  </si>
  <si>
    <t>Legacy Presenter Mic</t>
  </si>
  <si>
    <t>Cable with 4-pin mini-XLR (Shure)</t>
  </si>
  <si>
    <t>Cable with 3.5mm (Sennheiser)</t>
  </si>
  <si>
    <t>Charger types</t>
  </si>
  <si>
    <t>Cable with 4-pin mini-XLR (Mipro)</t>
  </si>
  <si>
    <t>w/o Chargers</t>
  </si>
  <si>
    <t>Cable with 4-pin Hirose (AudioTechnica)</t>
  </si>
  <si>
    <t>Charging Base</t>
  </si>
  <si>
    <t>Cable with 4-pin Hirose (AudioTechnica)-2</t>
  </si>
  <si>
    <t>Single Charging Dock</t>
  </si>
  <si>
    <t>Cable with 5-pin mini-XLR (Lectrosonics)</t>
  </si>
  <si>
    <t>Dual Charging Dock</t>
  </si>
  <si>
    <t>Cable with 3.5mm (Sony)</t>
  </si>
  <si>
    <t>Cable with 4-pin mini-XLR (Beyerdynamic)</t>
  </si>
  <si>
    <t>Transmitter design types</t>
  </si>
  <si>
    <t>Wedge for Mod</t>
  </si>
  <si>
    <t>Hub Mounting Kit</t>
  </si>
  <si>
    <t>Storage case for Plus</t>
  </si>
  <si>
    <t>3-pin to XLR adapter</t>
  </si>
  <si>
    <t xml:space="preserve">Products: </t>
  </si>
  <si>
    <t>Plus</t>
  </si>
  <si>
    <t>Hub</t>
  </si>
  <si>
    <t>Network module</t>
  </si>
  <si>
    <t>Cubes</t>
  </si>
  <si>
    <t>Clips</t>
  </si>
  <si>
    <t>Sticks</t>
  </si>
  <si>
    <t>Cube charging pad</t>
  </si>
  <si>
    <t>Clip and Stick Charging pads</t>
  </si>
  <si>
    <t>1 Single Clip and Stick dock included in the bundle</t>
  </si>
  <si>
    <t>1 Dual Clip and Stick dock included in the bundle</t>
  </si>
  <si>
    <t>1 Dual and 1 Single Dock are included in the bundle</t>
  </si>
  <si>
    <t>Customization - Transmitter 1</t>
  </si>
  <si>
    <t>1 Dual Clip and Stick chargers are included in the bundle</t>
  </si>
  <si>
    <t>Customization - Transmitter 2</t>
  </si>
  <si>
    <t>Customization - Transmitter 3</t>
  </si>
  <si>
    <t>Customization - Transmitter 4</t>
  </si>
  <si>
    <t>Hub mounting kit</t>
  </si>
  <si>
    <t>XLR to 3-pin adapter</t>
  </si>
  <si>
    <t>Pricelist for bundle components</t>
  </si>
  <si>
    <t>Hub2</t>
  </si>
  <si>
    <t>Hub4</t>
  </si>
  <si>
    <t>Network Module</t>
  </si>
  <si>
    <t>Cube (w/charger)</t>
  </si>
  <si>
    <t>Clip (w/dock)</t>
  </si>
  <si>
    <t>Stick (w/dock)</t>
  </si>
  <si>
    <t>Customiztion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</si>
</sst>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#,##0.00"/>
    <numFmt numFmtId="165" formatCode="[$$]#,##0.00"/>
  </numFmts>
  <fonts count="22" x14ac:knownFonts="1">
    <font>
      <sz val="10"/>
      <color rgb="FF000000"/>
      <name val="Arial"/>
      <scheme val="minor"/>
    </font>
    <font>
      <b/>
      <sz val="27"/>
      <color rgb="FFFFFFFF"/>
      <name val="Poppins"/>
    </font>
    <font>
      <sz val="10"/>
      <name val="Arial"/>
    </font>
    <font>
      <sz val="10"/>
      <color rgb="FF000000"/>
      <name val="Poppins"/>
    </font>
    <font>
      <i/>
      <sz val="10"/>
      <color rgb="FFFFFFFF"/>
      <name val="Poppins"/>
    </font>
    <font>
      <sz val="10"/>
      <color theme="1"/>
      <name val="Poppins"/>
    </font>
    <font>
      <i/>
      <sz val="10"/>
      <color theme="1"/>
      <name val="Poppins"/>
    </font>
    <font>
      <sz val="9"/>
      <color rgb="FF000000"/>
      <name val="Poppins"/>
    </font>
    <font>
      <sz val="10"/>
      <color theme="1"/>
      <name val="Arial"/>
    </font>
    <font>
      <i/>
      <sz val="10"/>
      <color rgb="FFCCCCCC"/>
      <name val="Poppins"/>
    </font>
    <font>
      <b/>
      <sz val="10"/>
      <color rgb="FF000000"/>
      <name val="Poppins"/>
    </font>
    <font>
      <b/>
      <sz val="18"/>
      <color rgb="FFFFFFFF"/>
      <name val="Poppins"/>
    </font>
    <font>
      <sz val="9"/>
      <color theme="1"/>
      <name val="Poppins"/>
    </font>
    <font>
      <b/>
      <sz val="9"/>
      <color theme="1"/>
      <name val="Poppins"/>
    </font>
    <font>
      <b/>
      <u/>
      <sz val="9"/>
      <color theme="1"/>
      <name val="Poppins"/>
    </font>
    <font>
      <b/>
      <sz val="10"/>
      <color theme="1"/>
      <name val="Poppins"/>
    </font>
    <font>
      <sz val="10"/>
      <color theme="0"/>
      <name val="Arial"/>
    </font>
    <font>
      <sz val="10"/>
      <color theme="0"/>
      <name val="Arial"/>
      <scheme val="minor"/>
    </font>
    <font>
      <b/>
      <i/>
      <sz val="9"/>
      <color theme="0"/>
      <name val="Poppins"/>
    </font>
    <font>
      <b/>
      <sz val="9"/>
      <color theme="0"/>
      <name val="Poppins"/>
    </font>
    <font>
      <sz val="9"/>
      <color theme="0"/>
      <name val="Poppins"/>
    </font>
    <font>
      <b/>
      <sz val="10"/>
      <color theme="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82243"/>
        <bgColor rgb="FF082243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AAAAAA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AAAAAA"/>
      </left>
      <right/>
      <top style="hair">
        <color rgb="FF000000"/>
      </top>
      <bottom style="hair">
        <color rgb="FF000000"/>
      </bottom>
      <diagonal/>
    </border>
    <border>
      <left style="thin">
        <color rgb="FFAAAAAA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AAAAAA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2" xfId="0" applyFont="1" applyBorder="1"/>
    <xf numFmtId="0" fontId="3" fillId="0" borderId="0" xfId="0" applyFont="1"/>
    <xf numFmtId="49" fontId="5" fillId="0" borderId="4" xfId="0" applyNumberFormat="1" applyFont="1" applyBorder="1"/>
    <xf numFmtId="49" fontId="5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7" fillId="3" borderId="0" xfId="0" applyFont="1" applyFill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vertical="center"/>
    </xf>
    <xf numFmtId="49" fontId="10" fillId="0" borderId="4" xfId="0" applyNumberFormat="1" applyFont="1" applyBorder="1"/>
    <xf numFmtId="0" fontId="3" fillId="0" borderId="0" xfId="0" applyFont="1" applyAlignment="1">
      <alignment horizontal="center"/>
    </xf>
    <xf numFmtId="49" fontId="10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/>
    <xf numFmtId="49" fontId="5" fillId="0" borderId="5" xfId="0" applyNumberFormat="1" applyFont="1" applyBorder="1"/>
    <xf numFmtId="165" fontId="5" fillId="0" borderId="5" xfId="0" applyNumberFormat="1" applyFont="1" applyBorder="1" applyAlignment="1">
      <alignment horizontal="center"/>
    </xf>
    <xf numFmtId="165" fontId="5" fillId="3" borderId="14" xfId="0" applyNumberFormat="1" applyFont="1" applyFill="1" applyBorder="1" applyAlignment="1">
      <alignment horizontal="center"/>
    </xf>
    <xf numFmtId="0" fontId="5" fillId="0" borderId="13" xfId="0" applyFont="1" applyBorder="1"/>
    <xf numFmtId="0" fontId="5" fillId="0" borderId="5" xfId="0" applyFont="1" applyBorder="1"/>
    <xf numFmtId="0" fontId="5" fillId="0" borderId="15" xfId="0" applyFont="1" applyBorder="1"/>
    <xf numFmtId="0" fontId="5" fillId="0" borderId="16" xfId="0" applyFont="1" applyBorder="1"/>
    <xf numFmtId="165" fontId="5" fillId="0" borderId="16" xfId="0" applyNumberFormat="1" applyFont="1" applyBorder="1" applyAlignment="1">
      <alignment horizontal="center"/>
    </xf>
    <xf numFmtId="165" fontId="5" fillId="3" borderId="17" xfId="0" applyNumberFormat="1" applyFont="1" applyFill="1" applyBorder="1" applyAlignment="1">
      <alignment horizontal="center"/>
    </xf>
    <xf numFmtId="49" fontId="10" fillId="0" borderId="18" xfId="0" applyNumberFormat="1" applyFont="1" applyBorder="1"/>
    <xf numFmtId="49" fontId="5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19" xfId="0" applyFont="1" applyBorder="1"/>
    <xf numFmtId="164" fontId="3" fillId="0" borderId="20" xfId="0" applyNumberFormat="1" applyFont="1" applyBorder="1" applyAlignment="1">
      <alignment horizontal="center"/>
    </xf>
    <xf numFmtId="0" fontId="3" fillId="0" borderId="21" xfId="0" applyFont="1" applyBorder="1"/>
    <xf numFmtId="165" fontId="3" fillId="0" borderId="21" xfId="0" applyNumberFormat="1" applyFont="1" applyBorder="1" applyAlignment="1">
      <alignment horizontal="center"/>
    </xf>
    <xf numFmtId="49" fontId="3" fillId="0" borderId="5" xfId="0" applyNumberFormat="1" applyFont="1" applyBorder="1"/>
    <xf numFmtId="165" fontId="3" fillId="3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165" fontId="3" fillId="0" borderId="23" xfId="0" applyNumberFormat="1" applyFont="1" applyBorder="1" applyAlignment="1">
      <alignment horizontal="center"/>
    </xf>
    <xf numFmtId="49" fontId="10" fillId="0" borderId="24" xfId="0" applyNumberFormat="1" applyFont="1" applyBorder="1"/>
    <xf numFmtId="0" fontId="3" fillId="0" borderId="25" xfId="0" applyFont="1" applyBorder="1"/>
    <xf numFmtId="165" fontId="3" fillId="0" borderId="25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0" fontId="3" fillId="0" borderId="20" xfId="0" applyFont="1" applyBorder="1"/>
    <xf numFmtId="165" fontId="5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/>
    <xf numFmtId="165" fontId="1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5" fillId="0" borderId="0" xfId="0" applyFont="1"/>
    <xf numFmtId="0" fontId="5" fillId="0" borderId="11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1" fillId="2" borderId="18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164" fontId="6" fillId="0" borderId="26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49" fontId="4" fillId="2" borderId="18" xfId="0" applyNumberFormat="1" applyFont="1" applyFill="1" applyBorder="1"/>
    <xf numFmtId="49" fontId="4" fillId="2" borderId="3" xfId="0" applyNumberFormat="1" applyFont="1" applyFill="1" applyBorder="1"/>
    <xf numFmtId="0" fontId="6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</cellXfs>
  <cellStyles count="1">
    <cellStyle name="Normal" xfId="0" builtinId="0"/>
  </cellStyles>
  <dxfs count="21"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  <dxf>
      <font>
        <color rgb="FFEFEFE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Z1011"/>
  <sheetViews>
    <sheetView workbookViewId="0">
      <selection activeCell="A2" sqref="A2:D2"/>
    </sheetView>
  </sheetViews>
  <sheetFormatPr defaultColWidth="12.5546875" defaultRowHeight="15" customHeight="1" x14ac:dyDescent="0.25"/>
  <cols>
    <col min="1" max="1" width="65.5546875" customWidth="1"/>
    <col min="2" max="2" width="112.88671875" customWidth="1"/>
    <col min="3" max="3" width="30.88671875" customWidth="1"/>
    <col min="4" max="4" width="24.33203125" customWidth="1"/>
  </cols>
  <sheetData>
    <row r="1" spans="1:26" ht="48" customHeight="1" x14ac:dyDescent="1.75">
      <c r="A1" s="78" t="s">
        <v>0</v>
      </c>
      <c r="B1" s="79"/>
      <c r="C1" s="79"/>
      <c r="D1" s="7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spans="1:26" ht="25.8" customHeight="1" x14ac:dyDescent="0.7">
      <c r="A2" s="80" t="s">
        <v>1</v>
      </c>
      <c r="B2" s="81"/>
      <c r="C2" s="81"/>
      <c r="D2" s="8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8" x14ac:dyDescent="0.7">
      <c r="A3" s="3" t="s">
        <v>2</v>
      </c>
      <c r="B3" s="4"/>
      <c r="C3" s="72" t="s">
        <v>3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8" x14ac:dyDescent="0.7">
      <c r="A4" s="3" t="s">
        <v>4</v>
      </c>
      <c r="B4" s="8"/>
      <c r="C4" s="72" t="s">
        <v>5</v>
      </c>
      <c r="D4" s="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8" x14ac:dyDescent="0.7">
      <c r="A5" s="3" t="s">
        <v>6</v>
      </c>
      <c r="B5" s="8"/>
      <c r="C5" s="72" t="s">
        <v>7</v>
      </c>
      <c r="D5" s="5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8" x14ac:dyDescent="0.7">
      <c r="A6" s="3" t="s">
        <v>8</v>
      </c>
      <c r="B6" s="8"/>
      <c r="C6" s="82" t="s">
        <v>9</v>
      </c>
      <c r="D6" s="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8" x14ac:dyDescent="0.7">
      <c r="A7" s="3" t="s">
        <v>10</v>
      </c>
      <c r="B7" s="9"/>
      <c r="C7" s="83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8" x14ac:dyDescent="0.7">
      <c r="A8" s="3" t="s">
        <v>11</v>
      </c>
      <c r="B8" s="9"/>
      <c r="C8" s="83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8" x14ac:dyDescent="0.7">
      <c r="A9" s="3" t="s">
        <v>12</v>
      </c>
      <c r="B9" s="8"/>
      <c r="C9" s="10" t="s">
        <v>13</v>
      </c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8" x14ac:dyDescent="0.7">
      <c r="A10" s="3" t="s">
        <v>14</v>
      </c>
      <c r="B10" s="9"/>
      <c r="C10" s="10" t="s">
        <v>13</v>
      </c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8" x14ac:dyDescent="0.7">
      <c r="A11" s="3" t="s">
        <v>15</v>
      </c>
      <c r="B11" s="8"/>
      <c r="C11" s="84" t="s">
        <v>16</v>
      </c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8" x14ac:dyDescent="0.7">
      <c r="A12" s="3" t="str">
        <f>IF(SUM(B6:B8)&gt;1,"Customization Transmitter 2","No 2nd tranmitter customization")</f>
        <v>No 2nd tranmitter customization</v>
      </c>
      <c r="B12" s="8"/>
      <c r="C12" s="83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8" x14ac:dyDescent="0.7">
      <c r="A13" s="3" t="str">
        <f>IF(SUM(B6:B8)&gt;2,"Customization Transmitter 3","No 3rd transmitter customization")</f>
        <v>No 3rd transmitter customization</v>
      </c>
      <c r="B13" s="8"/>
      <c r="C13" s="83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8" x14ac:dyDescent="0.7">
      <c r="A14" s="3" t="str">
        <f>IF(SUM(B6:B8)&gt;3,"Customization Transmitter 4","No 4th transmitter customization")</f>
        <v>No 4th transmitter customization</v>
      </c>
      <c r="B14" s="8"/>
      <c r="C14" s="83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 x14ac:dyDescent="0.7">
      <c r="A15" s="3" t="s">
        <v>17</v>
      </c>
      <c r="B15" s="4"/>
      <c r="C15" s="77" t="s">
        <v>7</v>
      </c>
      <c r="D15" s="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 x14ac:dyDescent="0.7">
      <c r="A16" s="3" t="s">
        <v>18</v>
      </c>
      <c r="B16" s="4"/>
      <c r="C16" s="77"/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 x14ac:dyDescent="0.7">
      <c r="A17" s="3" t="s">
        <v>19</v>
      </c>
      <c r="B17" s="4"/>
      <c r="C17" s="77"/>
      <c r="D17" s="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8" x14ac:dyDescent="0.7">
      <c r="A18" s="11"/>
      <c r="B18" s="12"/>
      <c r="C18" s="2"/>
      <c r="D18" s="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8" x14ac:dyDescent="0.7">
      <c r="A19" s="13" t="s">
        <v>20</v>
      </c>
      <c r="B19" s="14"/>
      <c r="C19" s="14"/>
      <c r="D19" s="1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8" x14ac:dyDescent="0.7">
      <c r="A20" s="16" t="s">
        <v>21</v>
      </c>
      <c r="B20" s="17" t="s">
        <v>22</v>
      </c>
      <c r="C20" s="17" t="s">
        <v>23</v>
      </c>
      <c r="D20" s="18" t="s">
        <v>24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8" x14ac:dyDescent="0.7">
      <c r="A21" s="19" t="str">
        <f>IF(AND(B3="Bodypack Converter", B11&lt;&gt;""),
    'SKU Builder'!C4 &amp; "0" &amp; 'SKU Builder'!G14 &amp; "0000000" &amp;
    VLOOKUP(B11, 'SKU Builder'!$E$19:$G$23, 3, FALSE) &amp; "000" &amp; "-0",
    ""
) &amp;
IF(B3="Plus",
    'SKU Builder'!C3 &amp;
    IF(AND(B4="2 channels", OR(B5="No network &amp; Dante +0 EUR", B5="")),
        'SKU Builder'!C15,
        IF(AND(B4="2 channels", B5="Network, PoE &amp; Dante +300 EUR"),
            'SKU Builder'!C16,
            IF(AND(B4="4 channels", OR(B5="No network &amp; Dante +0 EUR", B5="")),
                'SKU Builder'!C17,
                IF(AND(B4="4 channels", B5="Network, PoE &amp; Dante +300 EUR"),
                    'SKU Builder'!C18,
                    ""
                )
            )
        )
    ) &amp;
    IF(B6=1, 'SKU Builder'!C25,
        IF(B6=2, 'SKU Builder'!C25 &amp; 'SKU Builder'!C25,
            IF(B6=3, 'SKU Builder'!C25 &amp; 'SKU Builder'!C25 &amp; 'SKU Builder'!C25,
                IF(B6=4, 'SKU Builder'!C25 &amp; 'SKU Builder'!C25 &amp; 'SKU Builder'!C25 &amp; 'SKU Builder'!C25,
                    ""
                )
            )
        )
    ) &amp;
    IF(B7=1, 'SKU Builder'!C26,
        IF(B7=2, 'SKU Builder'!C26 &amp; 'SKU Builder'!C26,
            IF(B7=3, 'SKU Builder'!C26 &amp; 'SKU Builder'!C26 &amp; 'SKU Builder'!C26,
                IF(B7=4, 'SKU Builder'!C26 &amp; 'SKU Builder'!C26 &amp; 'SKU Builder'!C26 &amp; 'SKU Builder'!C26,
                    ""
                )
            )
        )
    ) &amp;
    IF(B8=1, 'SKU Builder'!C27,
        IF(B8=2, 'SKU Builder'!C27 &amp; 'SKU Builder'!C27,
            IF(B8=3, 'SKU Builder'!C27 &amp; 'SKU Builder'!C27 &amp; 'SKU Builder'!C27,
                IF(B8=4, 'SKU Builder'!C27 &amp; 'SKU Builder'!C27 &amp; 'SKU Builder'!C27 &amp; 'SKU Builder'!C27,
                    ""
                )
            )
        )
    ) &amp;
    IF(SUM(B6:B8)=1, "000",
        IF(SUM(B6:B8)=2, "00",
            IF(SUM(B6:B8)=3, "0",
                IF(SUM(B6:B8)=4, "",
                    ""
                )
            )
        )
    ) &amp;
    IF(B6=1, 'SKU Builder'!C35,
        IF(B6=2, 'SKU Builder'!C35 &amp; 'SKU Builder'!C35,
            IF(B6=3, 'SKU Builder'!C35 &amp; 'SKU Builder'!C35 &amp; 'SKU Builder'!C35,
                IF(B6=4, 'SKU Builder'!C35 &amp; 'SKU Builder'!C35 &amp; 'SKU Builder'!C35 &amp; 'SKU Builder'!C35,
                    ""
                )
            )
        )
    ) &amp;
    IF(SUM(B7,B8)=1, 'SKU Builder'!C36,
        IF(SUM(B7,B8)=2, 'SKU Builder'!C37,
            IF(SUM(B7,B8)=3, 'SKU Builder'!C36 &amp; 'SKU Builder'!C37,
                IF(SUM(B7,B8)=4, 'SKU Builder'!C37 &amp; 'SKU Builder'!C37,
                    ""
                )
            )
        )
    ) &amp;
    IF(OR(SUM(B7:B8)=1, SUM(B7:B8)=2),
        IF(SUM(B6,1)=1, "000",
            IF(SUM(B6,1)=2, "00",
                IF(SUM(B6,1)=3, "0",
                    IF(SUM(B6,1)=4, "",
                        ""
                    )
                )
            )
        ),
        IF(OR(SUM(B7:B8)=3, SUM(B7:B8)=4),
            IF(SUM(B6,2)=2, "00",
                IF(SUM(B6,2)=3, "0",
                    IF(SUM(B6,2)=4, "",
                        ""
                    )
                )
            ),
            IF(SUM(B7:B8)=0,
                IF(B6=1, "000",
                    IF(B6=2, "00",
                        IF(B6=3, "0",
                            IF(B6=4, "",
                                ""
                            )
                        )
                    )
                )
            )
        )
    ) &amp;
    IF(AND(B6&gt;0, B11&lt;&gt;""),
        VLOOKUP(B11, 'SKU Builder'!$A$41:$C$45, 3, FALSE),
        IF(AND(B7&gt;0, B11&lt;&gt;""),
            VLOOKUP(B11, 'SKU Builder'!$A$46:$C$50, 3, FALSE),
            IF(AND(B8&gt;0, B11&lt;&gt;""),
                VLOOKUP(B11, 'SKU Builder'!$A$51:$C$55, 3, FALSE),
                ""
            )
        )
    ) &amp;
    IF(AND(B6&gt;1, B12&lt;&gt;""),
        VLOOKUP(B12, 'SKU Builder'!$A$41:$C$45, 3, FALSE),
        IF(AND(B6+B7&gt;1, B12&lt;&gt;""),
            VLOOKUP(B12, 'SKU Builder'!$A$46:$C$50, 3, FALSE),
            IF(AND(B6+B7+B8&gt;1, B12&lt;&gt;0),
                VLOOKUP(B12, 'SKU Builder'!$A$51:$C$55, 3, FALSE),
                ""
            )
        )
    ) &amp;
    IF(AND(B6&gt;2, B13&lt;&gt;""),
        VLOOKUP(B13, 'SKU Builder'!$A$41:$C$45, 3, FALSE),
        IF(AND(B6+B7&gt;2, B13&lt;&gt;""),
            VLOOKUP(B13, 'SKU Builder'!$A$46:$C$50, 3, FALSE),
            IF(AND(B6+B7+B8&gt;2, B13&lt;&gt;""),
                VLOOKUP(B13, 'SKU Builder'!$A$51:$C$55, 3, FALSE),
                ""
            )
        )
    ) &amp;
    IF(AND(B6&gt;3, B14&lt;&gt;""),
        VLOOKUP(B14, 'SKU Builder'!$A$41:$C$45, 3, FALSE),
        IF(AND(B6+B7&gt;3, B14&lt;&gt;""),
            VLOOKUP(B14, 'SKU Builder'!$A$46:$C$50, 3, FALSE),
            IF(AND(B6+B7+B8&gt;3, B14&lt;&gt;""),
                VLOOKUP(B14, 'SKU Builder'!$A$51:$C$55, 3, FALSE),
                ""
            )
        )
    ) &amp;
    IF(AND(SUM(B6:B8)=1, B11&lt;&gt;""), "000",
        IF(AND(SUM(B6:B8)=2, B11&lt;&gt;"", B12&lt;&gt;""), "00",
            IF(AND(SUM(B6:B8)=3, B11&lt;&gt;"", B12&lt;&gt;"", B13&lt;&gt;""), "0",
                IF(AND(SUM(B6:B8)=4, B11&lt;&gt;"", B12&lt;&gt;"", B13&lt;&gt;"", B14&lt;&gt;""), "",
                    ""
                )
            )
        )
    ) &amp; "-0",
    ""
)</f>
        <v/>
      </c>
      <c r="B21" s="20" t="str">
        <f>IF(B3="Bodypack Converter",
    "Bodypack Converter, " &amp; " " &amp;
    IF(B11&lt;&gt;"", B11, "") &amp; " " &amp;
    IF(B15&lt;&gt;"", "Storage case", ""),
    ""
) &amp;
IF(B3="Plus",
    "Catchbox Plus System with " &amp;
    IF(B4&lt;&gt;"",
        IF(AND(B4="2 channels", OR(B5="", B5="No network &amp; Dante +0 EUR")),
            "2 channel Hub DSP receiver ",
            IF(AND(B4="2 channels", B5="Network, PoE &amp; Dante +300 EUR"),
                "2 channel Hub DSP receiver with Networking and DANTE, ",
                IF(AND(B4="4 channels", OR(B5="", B5="No network &amp; Dante +0 EUR")),
                    "4 channel Hub DSP receiver ",
                    IF(AND(B4="4 channels", B5="Network, PoE &amp; Dante +300 EUR"),
                        "4 channel Hub DSP receiver with Networking and DANTE, ",
                        ""
                    )
                )
            )
        ),
        ""
    ) &amp;
    IF(B6&gt;0, B6 &amp; " Cube", "") &amp;
    IF(B7&gt;0, ", " &amp; B7 &amp; " Clip", "") &amp;
    IF(B8&gt;0, ", " &amp; B8 &amp; " Stick", "") &amp;
    IF(SUM(B6:B8)&gt;0, ", incl chargers", "") &amp;
    IF(AND(SUM(B6:B8)=COUNTIFS(B11:B14,"&lt;&gt;"), OR(B11="Custom Color", B12="Custom Color", B13="Custom Color", B14="Custom Color")),
        ", Custom Color",
        IF(SUM(B6:B8)=1,
            IF(AND(B11&lt;&gt;"", B11&lt;&gt;"Custom Color"), ", Standard Color", ""),
            IF(SUM(B6:B8)=2,
                IF(AND(B11&lt;&gt;"", B12&lt;&gt;"", B11&lt;&gt;"Custom Color", B12&lt;&gt;"Custom Color"), ", Standard Color", ""),
                IF(SUM(B6:B8)=3,
                    IF(AND(B11&lt;&gt;"", B12&lt;&gt;"", B13&lt;&gt;"", B11&lt;&gt;"Custom Color", B12&lt;&gt;"Custom Color", B13&lt;&gt;"Custom Color"), ", Standard Color", ""),
                    IF(SUM(B6:B8)=4,
                        IF(AND(B11&lt;&gt;"", B12&lt;&gt;"", B13&lt;&gt;"", B14&lt;&gt;"", B11&lt;&gt;"Custom Color", B12&lt;&gt;"Custom Color", B13&lt;&gt;"Custom Color", B14&lt;&gt;"Custom Color"), ", Standard Color", ""),
                        ""
                    )
                )
            )
        )
    ),
    ""
)</f>
        <v/>
      </c>
      <c r="C21" s="21">
        <f>IF(B3="Plus",
    IF(B4="2 channels", 'Input for bundle selection'!B82,
        IF(B4="4 channels", 'Input for bundle selection'!B83,
            0
        )
    ) +
    IF(B5="Network, PoE &amp; Dante +300 EUR", 300, 0) +
    IF(B6&gt;0, B6 * 'Input for bundle selection'!B85, 0) +
    IF(B7&gt;0, B7 * 'Input for bundle selection'!B86, 0) +
    IF(B8&gt;0, B8 * 'Input for bundle selection'!B87, 0) +
    IF(COUNTIF(B11:B14, "Custom Color")=0, 0,
        SUM(B6:B8) * 'Input for bundle selection'!B88
    ),
    IF(B3="Bodypack Converter",
        'Input for bundle selection'!B81 +
        IF(B11="Custom Color", 50, 0),
        0
    )
)</f>
        <v>0</v>
      </c>
      <c r="D21" s="22">
        <f t="shared" ref="D21:D24" si="0">IF(C21&lt;&gt;"",C21*0.8,"")</f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8" x14ac:dyDescent="0.7">
      <c r="A22" s="23" t="str">
        <f>IF(AND(B3="Plus",B15="Yes"),"P0000000000000-"&amp;'SKU Builder'!C59,IF(AND(B3="Bodypack Converter",B15="Yes"),"B0000000000000-"&amp;'SKU Builder'!G29,""))</f>
        <v/>
      </c>
      <c r="B22" s="24" t="str">
        <f>IF(AND(B3="Plus",B15="Yes"),"Storage case for Plus",IF(AND(B3="Bodypack Converter",B15="Yes"),"Storage case for Bodypack Converter",""))</f>
        <v/>
      </c>
      <c r="C22" s="21" t="str">
        <f>IF(AND(B3="Plus",B15="Yes"),'All SKUs'!C181,IF(AND(B3="Bodypack Converter",B15="Yes"),'All SKUs'!C219,""))</f>
        <v/>
      </c>
      <c r="D22" s="22" t="str">
        <f t="shared" si="0"/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8" x14ac:dyDescent="0.7">
      <c r="A23" s="23" t="str">
        <f>IF(AND(B3="Plus",B16="Yes"),"P0000000000000-"&amp;'SKU Builder'!C58,"")</f>
        <v/>
      </c>
      <c r="B23" s="24" t="str">
        <f>IF(AND(B3="Plus",B16="Yes"),"Hub mounting kit","")</f>
        <v/>
      </c>
      <c r="C23" s="21" t="str">
        <f>IF(AND(B3="Plus",B16="Yes"),'All SKUs'!C180,"")</f>
        <v/>
      </c>
      <c r="D23" s="22" t="str">
        <f t="shared" si="0"/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8" x14ac:dyDescent="0.7">
      <c r="A24" s="25" t="str">
        <f>IF(AND(B3="Plus",B17="Yes"),"P0000000000000-"&amp;'SKU Builder'!C60,"")</f>
        <v/>
      </c>
      <c r="B24" s="26" t="str">
        <f>IF(AND(B3="Plus",B17="Yes"),"3-pin to XLR adapter pack","")</f>
        <v/>
      </c>
      <c r="C24" s="27" t="str">
        <f>IF(AND(B3="Plus",B17="Yes"),'All SKUs'!C182,"")</f>
        <v/>
      </c>
      <c r="D24" s="28" t="str">
        <f t="shared" si="0"/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8" x14ac:dyDescent="0.7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8" x14ac:dyDescent="0.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8" x14ac:dyDescent="0.7">
      <c r="A27" s="29" t="s">
        <v>26</v>
      </c>
      <c r="B27" s="30" t="s">
        <v>27</v>
      </c>
      <c r="C27" s="31"/>
      <c r="D27" s="3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7.75" customHeight="1" x14ac:dyDescent="0.25">
      <c r="A28" s="75" t="s">
        <v>28</v>
      </c>
      <c r="B28" s="76"/>
      <c r="C28" s="76"/>
      <c r="D28" s="76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9.8" x14ac:dyDescent="0.7">
      <c r="A29" s="33" t="s">
        <v>21</v>
      </c>
      <c r="B29" s="33" t="s">
        <v>22</v>
      </c>
      <c r="C29" s="33" t="s">
        <v>23</v>
      </c>
      <c r="D29" s="33" t="s">
        <v>24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8" x14ac:dyDescent="0.7">
      <c r="A30" s="34"/>
      <c r="B30" s="35"/>
      <c r="C30" s="36"/>
      <c r="D30" s="3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8" x14ac:dyDescent="0.7">
      <c r="A31" s="37" t="str">
        <f>'All SKUs'!A70</f>
        <v>PCABC0AC00EJO0-0</v>
      </c>
      <c r="B31" s="37" t="str">
        <f>'All SKUs'!B70</f>
        <v>Catchbox Plus System with 4 channel Hub DSP receiver 1 Cube 1 Clip 1 Stick incl chargers, Custom</v>
      </c>
      <c r="C31" s="38">
        <f>'All SKUs'!C70</f>
        <v>2999</v>
      </c>
      <c r="D31" s="38" t="e">
        <f>'All SKUs'!#REF!</f>
        <v>#REF!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8" x14ac:dyDescent="0.7">
      <c r="A32" s="37" t="str">
        <f>'All SKUs'!A138</f>
        <v>PDABC0AC00EJO0-0</v>
      </c>
      <c r="B32" s="37" t="str">
        <f>'All SKUs'!B138</f>
        <v>Catchbox Plus System with 4 channel Hub DSP receiver with Networking and DANTE 1 Cube 1 Clip 1 Stick incl chargers, Custom</v>
      </c>
      <c r="C32" s="38">
        <f>'All SKUs'!C138</f>
        <v>3299</v>
      </c>
      <c r="D32" s="38" t="e">
        <f>'All SKUs'!#REF!</f>
        <v>#REF!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8" x14ac:dyDescent="0.7">
      <c r="A33" s="39"/>
      <c r="B33" s="39"/>
      <c r="C33" s="40"/>
      <c r="D33" s="40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.8" x14ac:dyDescent="0.7">
      <c r="A34" s="39" t="str">
        <f>'All SKUs'!A97</f>
        <v>PCBBCCCC00JJOO-0</v>
      </c>
      <c r="B34" s="39" t="str">
        <f>'All SKUs'!B97</f>
        <v>Catchbox Plus System with 4 channel Hub DSP receiver 2 Clip 2 Stick incl chargers, Custom</v>
      </c>
      <c r="C34" s="41">
        <f>'All SKUs'!C97</f>
        <v>3449</v>
      </c>
      <c r="D34" s="41" t="e">
        <f>'All SKUs'!#REF!</f>
        <v>#REF!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9.8" x14ac:dyDescent="0.7">
      <c r="A35" s="37" t="str">
        <f>'All SKUs'!A165</f>
        <v>PDBBCCCC00JJOO-0</v>
      </c>
      <c r="B35" s="37" t="str">
        <f>'All SKUs'!B165</f>
        <v>Catchbox Plus System with 4 channel Hub DSP receiver with Networking and DANTE 2 Clip 2 Stick incl chargers, Custom</v>
      </c>
      <c r="C35" s="38">
        <f>'All SKUs'!C165</f>
        <v>3749</v>
      </c>
      <c r="D35" s="38" t="e">
        <f>'All SKUs'!#REF!</f>
        <v>#REF!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9.8" x14ac:dyDescent="0.7">
      <c r="A36" s="39"/>
      <c r="B36" s="39"/>
      <c r="C36" s="40"/>
      <c r="D36" s="40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9.8" x14ac:dyDescent="0.7">
      <c r="A37" s="37" t="str">
        <f>'All SKUs'!A107</f>
        <v>PCAABCAAC0EEJO-0</v>
      </c>
      <c r="B37" s="37" t="str">
        <f>'All SKUs'!B107</f>
        <v>Catchbox Plus System with 4 channel Hub DSP receiver 2 Cube 1 Clip 1 Stick incl chargers, Custom</v>
      </c>
      <c r="C37" s="38">
        <f>'All SKUs'!C107</f>
        <v>3599</v>
      </c>
      <c r="D37" s="38" t="e">
        <f>'All SKUs'!#REF!</f>
        <v>#REF!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9.8" x14ac:dyDescent="0.7">
      <c r="A38" s="37" t="str">
        <f>'All SKUs'!A175</f>
        <v>PDAABCAAC0EEJO-0</v>
      </c>
      <c r="B38" s="37" t="str">
        <f>'All SKUs'!B175</f>
        <v>Catchbox Plus System with 4 channel Hub DSP receiver with Networking and DANTE 2 Cube 1 Clip 1 Stick incl chargers, Custom</v>
      </c>
      <c r="C38" s="38">
        <f>'All SKUs'!C175</f>
        <v>3899</v>
      </c>
      <c r="D38" s="38" t="e">
        <f>'All SKUs'!#REF!</f>
        <v>#REF!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9.8" x14ac:dyDescent="0.7">
      <c r="A39" s="42"/>
      <c r="B39" s="43"/>
      <c r="C39" s="44"/>
      <c r="D39" s="4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9.8" x14ac:dyDescent="0.7">
      <c r="A40" s="37" t="str">
        <f>'All SKUs'!A40</f>
        <v>PBBB00C000JJ00-0</v>
      </c>
      <c r="B40" s="37" t="str">
        <f>'All SKUs'!B40</f>
        <v>Catchbox Plus System with 2 channel Hub DSP recever with Networking and DANTE 2 Clip incl chargers, Custom</v>
      </c>
      <c r="C40" s="38">
        <f>'All SKUs'!C40</f>
        <v>2099</v>
      </c>
      <c r="D40" s="38" t="e">
        <f>'All SKUs'!#REF!</f>
        <v>#REF!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9.8" x14ac:dyDescent="0.7">
      <c r="A41" s="39"/>
      <c r="B41" s="39"/>
      <c r="C41" s="40"/>
      <c r="D41" s="40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9.8" x14ac:dyDescent="0.7">
      <c r="A42" s="37" t="str">
        <f>'All SKUs'!A173</f>
        <v>PDBBBBCC00JJJJ-0</v>
      </c>
      <c r="B42" s="37" t="str">
        <f>'All SKUs'!B173</f>
        <v>Catchbox Plus System with 4 channel Hub DSP receiver with Networking and DANTE 4 Clip incl chargers, Custom</v>
      </c>
      <c r="C42" s="38">
        <f>'All SKUs'!C173</f>
        <v>3649</v>
      </c>
      <c r="D42" s="38" t="e">
        <f>'All SKUs'!#REF!</f>
        <v>#REF!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9.8" x14ac:dyDescent="0.7">
      <c r="A43" s="45"/>
      <c r="B43" s="46"/>
      <c r="C43" s="47"/>
      <c r="D43" s="4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9.8" x14ac:dyDescent="0.7">
      <c r="A44" s="37" t="str">
        <f>'All SKUs'!A38</f>
        <v>PBBC00C000JO00-0</v>
      </c>
      <c r="B44" s="37" t="str">
        <f>'All SKUs'!B38</f>
        <v>Catchbox Plus System with 2 channel Hub DSP recever with Networking and DANTE 1 Clip 1 Stick incl chargers, Custom</v>
      </c>
      <c r="C44" s="38">
        <f>'All SKUs'!C38</f>
        <v>2149</v>
      </c>
      <c r="D44" s="38" t="e">
        <f>'All SKUs'!#REF!</f>
        <v>#REF!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9.8" x14ac:dyDescent="0.7">
      <c r="A45" s="39"/>
      <c r="B45" s="39"/>
      <c r="C45" s="40"/>
      <c r="D45" s="4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9.8" x14ac:dyDescent="0.7">
      <c r="A46" s="37" t="str">
        <f>'All SKUs'!A124</f>
        <v>PDBC00C000JO00-0</v>
      </c>
      <c r="B46" s="37" t="str">
        <f>'All SKUs'!B124</f>
        <v>Catchbox Plus System with 4 channel Hub DSP receiver with Networking and DANTE 1 Clip 1 Stick incl chargers, Custom</v>
      </c>
      <c r="C46" s="38">
        <f>'All SKUs'!C124</f>
        <v>2699</v>
      </c>
      <c r="D46" s="38" t="e">
        <f>'All SKUs'!#REF!</f>
        <v>#REF!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9.8" x14ac:dyDescent="0.7">
      <c r="A47" s="37"/>
      <c r="B47" s="37"/>
      <c r="C47" s="38"/>
      <c r="D47" s="3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9.8" x14ac:dyDescent="0.7">
      <c r="A48" s="37" t="str">
        <f>'All SKUs'!A9</f>
        <v>PAA000A000E000-0</v>
      </c>
      <c r="B48" s="37" t="str">
        <f>'All SKUs'!B9</f>
        <v>Catchbox Plus System with 2 channel Hub DSP receiver 1 Cube incl chargers, Custom</v>
      </c>
      <c r="C48" s="38">
        <f>'All SKUs'!C9</f>
        <v>1399</v>
      </c>
      <c r="D48" s="38" t="e">
        <f>'All SKUs'!#REF!</f>
        <v>#REF!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9.8" x14ac:dyDescent="0.7">
      <c r="A49" s="37"/>
      <c r="B49" s="37"/>
      <c r="C49" s="38"/>
      <c r="D49" s="3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9.8" x14ac:dyDescent="0.7">
      <c r="A50" s="37" t="str">
        <f>'All SKUs'!A11</f>
        <v>PAC000B000O000-0</v>
      </c>
      <c r="B50" s="37" t="str">
        <f>'All SKUs'!B11</f>
        <v>Catchbox Plus System with 2 channel Hub DSP receiver 1 Stick incl chargers, Custom</v>
      </c>
      <c r="C50" s="38">
        <f>'All SKUs'!C11</f>
        <v>1349</v>
      </c>
      <c r="D50" s="38" t="e">
        <f>'All SKUs'!#REF!</f>
        <v>#REF!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9.8" x14ac:dyDescent="0.7">
      <c r="A51" s="37"/>
      <c r="B51" s="37"/>
      <c r="C51" s="38"/>
      <c r="D51" s="3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9.8" x14ac:dyDescent="0.7">
      <c r="A52" s="37" t="str">
        <f>'All SKUs'!A10</f>
        <v>PAB000B000J000-0</v>
      </c>
      <c r="B52" s="37" t="str">
        <f>'All SKUs'!B10</f>
        <v>Catchbox Plus System with 2 channel Hub DSP receiver 1 Clip incl chargers, Custom</v>
      </c>
      <c r="C52" s="38">
        <f>'All SKUs'!C10</f>
        <v>1299</v>
      </c>
      <c r="D52" s="38" t="e">
        <f>'All SKUs'!#REF!</f>
        <v>#REF!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9.8" x14ac:dyDescent="0.7">
      <c r="A53" s="42"/>
      <c r="B53" s="42"/>
      <c r="C53" s="48"/>
      <c r="D53" s="4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7.75" customHeight="1" x14ac:dyDescent="0.25">
      <c r="A54" s="75" t="s">
        <v>29</v>
      </c>
      <c r="B54" s="76"/>
      <c r="C54" s="76"/>
      <c r="D54" s="76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9.8" x14ac:dyDescent="0.7">
      <c r="A55" s="33" t="s">
        <v>21</v>
      </c>
      <c r="B55" s="33" t="s">
        <v>22</v>
      </c>
      <c r="C55" s="33" t="s">
        <v>23</v>
      </c>
      <c r="D55" s="33" t="s">
        <v>24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9.8" x14ac:dyDescent="0.7">
      <c r="A56" s="49"/>
      <c r="B56" s="49"/>
      <c r="C56" s="36"/>
      <c r="D56" s="3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9.8" x14ac:dyDescent="0.7">
      <c r="A57" s="37" t="str">
        <f>'All SKUs'!A193</f>
        <v>P000000000A000-0</v>
      </c>
      <c r="B57" s="37" t="str">
        <f>'All SKUs'!B193</f>
        <v>Cover, Standard - Red</v>
      </c>
      <c r="C57" s="38">
        <f>'All SKUs'!C193</f>
        <v>99</v>
      </c>
      <c r="D57" s="38" t="e">
        <f>'All SKUs'!#REF!</f>
        <v>#REF!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9.8" x14ac:dyDescent="0.7">
      <c r="A58" s="37" t="str">
        <f>'All SKUs'!A194</f>
        <v>P000000000E000-0</v>
      </c>
      <c r="B58" s="37" t="str">
        <f>'All SKUs'!B194</f>
        <v>Cover, Custom</v>
      </c>
      <c r="C58" s="38">
        <f>'All SKUs'!C194</f>
        <v>149</v>
      </c>
      <c r="D58" s="38" t="e">
        <f>'All SKUs'!#REF!</f>
        <v>#REF!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9.8" x14ac:dyDescent="0.7">
      <c r="A59" s="37" t="str">
        <f>'All SKUs'!A195</f>
        <v>P000000000F000-0</v>
      </c>
      <c r="B59" s="37" t="str">
        <f>'All SKUs'!B195</f>
        <v>Clip Jacket, Standard - Red</v>
      </c>
      <c r="C59" s="38">
        <f>'All SKUs'!C195</f>
        <v>59</v>
      </c>
      <c r="D59" s="38" t="e">
        <f>'All SKUs'!#REF!</f>
        <v>#REF!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9.8" x14ac:dyDescent="0.7">
      <c r="A60" s="37" t="str">
        <f>'All SKUs'!A196</f>
        <v>P000000000J000-0</v>
      </c>
      <c r="B60" s="37" t="str">
        <f>'All SKUs'!B196</f>
        <v>Clip Jacket, Custom</v>
      </c>
      <c r="C60" s="38">
        <f>'All SKUs'!C196</f>
        <v>109</v>
      </c>
      <c r="D60" s="38" t="e">
        <f>'All SKUs'!#REF!</f>
        <v>#REF!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9.8" x14ac:dyDescent="0.7">
      <c r="A61" s="37" t="str">
        <f>'All SKUs'!A197</f>
        <v>P000000000K000-0</v>
      </c>
      <c r="B61" s="37" t="str">
        <f>'All SKUs'!B197</f>
        <v>Stick Jackets, Standard - Red</v>
      </c>
      <c r="C61" s="38">
        <f>'All SKUs'!C197</f>
        <v>99</v>
      </c>
      <c r="D61" s="38" t="e">
        <f>'All SKUs'!#REF!</f>
        <v>#REF!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9.8" x14ac:dyDescent="0.7">
      <c r="A62" s="37" t="str">
        <f>'All SKUs'!A198</f>
        <v>P000000000O000-0</v>
      </c>
      <c r="B62" s="37" t="str">
        <f>'All SKUs'!B198</f>
        <v>Stick Jackets, Custom</v>
      </c>
      <c r="C62" s="38">
        <f>'All SKUs'!C198</f>
        <v>149</v>
      </c>
      <c r="D62" s="38" t="e">
        <f>'All SKUs'!#REF!</f>
        <v>#REF!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9.8" x14ac:dyDescent="0.7">
      <c r="A63" s="7"/>
      <c r="B63" s="7"/>
      <c r="C63" s="50"/>
      <c r="D63" s="5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9.8" x14ac:dyDescent="0.7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9.8" x14ac:dyDescent="0.7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9.8" x14ac:dyDescent="0.7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9.8" x14ac:dyDescent="0.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9.8" x14ac:dyDescent="0.7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9.8" x14ac:dyDescent="0.7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9.8" x14ac:dyDescent="0.7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9.8" x14ac:dyDescent="0.7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9.8" x14ac:dyDescent="0.7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9.8" x14ac:dyDescent="0.7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9.8" x14ac:dyDescent="0.7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9.8" x14ac:dyDescent="0.7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9.8" x14ac:dyDescent="0.7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9.8" x14ac:dyDescent="0.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9.8" x14ac:dyDescent="0.7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9.8" x14ac:dyDescent="0.7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9.8" x14ac:dyDescent="0.7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9.8" x14ac:dyDescent="0.7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9.8" x14ac:dyDescent="0.7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9.8" x14ac:dyDescent="0.7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9.8" x14ac:dyDescent="0.7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9.8" x14ac:dyDescent="0.7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9.8" x14ac:dyDescent="0.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9.8" x14ac:dyDescent="0.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9.8" x14ac:dyDescent="0.7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9.8" x14ac:dyDescent="0.7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9.8" x14ac:dyDescent="0.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9.8" x14ac:dyDescent="0.7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9.8" x14ac:dyDescent="0.7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9.8" x14ac:dyDescent="0.7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9.8" x14ac:dyDescent="0.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9.8" x14ac:dyDescent="0.7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9.8" x14ac:dyDescent="0.7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9.8" x14ac:dyDescent="0.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9.8" x14ac:dyDescent="0.7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9.8" x14ac:dyDescent="0.7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9.8" x14ac:dyDescent="0.7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9.8" x14ac:dyDescent="0.7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9.8" x14ac:dyDescent="0.7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9.8" x14ac:dyDescent="0.7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9.8" x14ac:dyDescent="0.7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9.8" x14ac:dyDescent="0.7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9.8" x14ac:dyDescent="0.7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9.8" x14ac:dyDescent="0.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9.8" x14ac:dyDescent="0.7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9.8" x14ac:dyDescent="0.7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9.8" x14ac:dyDescent="0.7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9.8" x14ac:dyDescent="0.7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9.8" x14ac:dyDescent="0.7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9.8" x14ac:dyDescent="0.7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9.8" x14ac:dyDescent="0.7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9.8" x14ac:dyDescent="0.7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9.8" x14ac:dyDescent="0.7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9.8" x14ac:dyDescent="0.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9.8" x14ac:dyDescent="0.7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9.8" x14ac:dyDescent="0.7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9.8" x14ac:dyDescent="0.7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9.8" x14ac:dyDescent="0.7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9.8" x14ac:dyDescent="0.7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9.8" x14ac:dyDescent="0.7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9.8" x14ac:dyDescent="0.7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9.8" x14ac:dyDescent="0.7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9.8" x14ac:dyDescent="0.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9.8" x14ac:dyDescent="0.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9.8" x14ac:dyDescent="0.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9.8" x14ac:dyDescent="0.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9.8" x14ac:dyDescent="0.7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9.8" x14ac:dyDescent="0.7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9.8" x14ac:dyDescent="0.7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9.8" x14ac:dyDescent="0.7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9.8" x14ac:dyDescent="0.7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9.8" x14ac:dyDescent="0.7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9.8" x14ac:dyDescent="0.7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9.8" x14ac:dyDescent="0.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9.8" x14ac:dyDescent="0.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9.8" x14ac:dyDescent="0.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9.8" x14ac:dyDescent="0.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9.8" x14ac:dyDescent="0.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9.8" x14ac:dyDescent="0.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9.8" x14ac:dyDescent="0.7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9.8" x14ac:dyDescent="0.7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9.8" x14ac:dyDescent="0.7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9.8" x14ac:dyDescent="0.7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9.8" x14ac:dyDescent="0.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9.8" x14ac:dyDescent="0.7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9.8" x14ac:dyDescent="0.7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9.8" x14ac:dyDescent="0.7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9.8" x14ac:dyDescent="0.7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9.8" x14ac:dyDescent="0.7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9.8" x14ac:dyDescent="0.7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9.8" x14ac:dyDescent="0.7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9.8" x14ac:dyDescent="0.7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9.8" x14ac:dyDescent="0.7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9.8" x14ac:dyDescent="0.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9.8" x14ac:dyDescent="0.7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9.8" x14ac:dyDescent="0.7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9.8" x14ac:dyDescent="0.7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9.8" x14ac:dyDescent="0.7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9.8" x14ac:dyDescent="0.7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9.8" x14ac:dyDescent="0.7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9.8" x14ac:dyDescent="0.7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9.8" x14ac:dyDescent="0.7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9.8" x14ac:dyDescent="0.7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9.8" x14ac:dyDescent="0.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9.8" x14ac:dyDescent="0.7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9.8" x14ac:dyDescent="0.7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9.8" x14ac:dyDescent="0.7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9.8" x14ac:dyDescent="0.7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9.8" x14ac:dyDescent="0.7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9.8" x14ac:dyDescent="0.7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9.8" x14ac:dyDescent="0.7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9.8" x14ac:dyDescent="0.7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9.8" x14ac:dyDescent="0.7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9.8" x14ac:dyDescent="0.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9.8" x14ac:dyDescent="0.7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9.8" x14ac:dyDescent="0.7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9.8" x14ac:dyDescent="0.7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9.8" x14ac:dyDescent="0.7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9.8" x14ac:dyDescent="0.7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9.8" x14ac:dyDescent="0.7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9.8" x14ac:dyDescent="0.7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9.8" x14ac:dyDescent="0.7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9.8" x14ac:dyDescent="0.7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9.8" x14ac:dyDescent="0.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9.8" x14ac:dyDescent="0.7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9.8" x14ac:dyDescent="0.7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9.8" x14ac:dyDescent="0.7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9.8" x14ac:dyDescent="0.7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9.8" x14ac:dyDescent="0.7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9.8" x14ac:dyDescent="0.7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9.8" x14ac:dyDescent="0.7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9.8" x14ac:dyDescent="0.7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9.8" x14ac:dyDescent="0.7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9.8" x14ac:dyDescent="0.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9.8" x14ac:dyDescent="0.7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9.8" x14ac:dyDescent="0.7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9.8" x14ac:dyDescent="0.7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9.8" x14ac:dyDescent="0.7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9.8" x14ac:dyDescent="0.7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9.8" x14ac:dyDescent="0.7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9.8" x14ac:dyDescent="0.7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9.8" x14ac:dyDescent="0.7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9.8" x14ac:dyDescent="0.7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9.8" x14ac:dyDescent="0.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9.8" x14ac:dyDescent="0.7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9.8" x14ac:dyDescent="0.7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9.8" x14ac:dyDescent="0.7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9.8" x14ac:dyDescent="0.7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9.8" x14ac:dyDescent="0.7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9.8" x14ac:dyDescent="0.7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9.8" x14ac:dyDescent="0.7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9.8" x14ac:dyDescent="0.7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9.8" x14ac:dyDescent="0.7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9.8" x14ac:dyDescent="0.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9.8" x14ac:dyDescent="0.7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9.8" x14ac:dyDescent="0.7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9.8" x14ac:dyDescent="0.7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9.8" x14ac:dyDescent="0.7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9.8" x14ac:dyDescent="0.7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9.8" x14ac:dyDescent="0.7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9.8" x14ac:dyDescent="0.7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9.8" x14ac:dyDescent="0.7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9.8" x14ac:dyDescent="0.7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9.8" x14ac:dyDescent="0.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9.8" x14ac:dyDescent="0.7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9.8" x14ac:dyDescent="0.7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9.8" x14ac:dyDescent="0.7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9.8" x14ac:dyDescent="0.7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9.8" x14ac:dyDescent="0.7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9.8" x14ac:dyDescent="0.7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9.8" x14ac:dyDescent="0.7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9.8" x14ac:dyDescent="0.7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9.8" x14ac:dyDescent="0.7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9.8" x14ac:dyDescent="0.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9.8" x14ac:dyDescent="0.7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9.8" x14ac:dyDescent="0.7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9.8" x14ac:dyDescent="0.7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9.8" x14ac:dyDescent="0.7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9.8" x14ac:dyDescent="0.7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9.8" x14ac:dyDescent="0.7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9.8" x14ac:dyDescent="0.7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9.8" x14ac:dyDescent="0.7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9.8" x14ac:dyDescent="0.7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9.8" x14ac:dyDescent="0.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9.8" x14ac:dyDescent="0.7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9.8" x14ac:dyDescent="0.7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9.8" x14ac:dyDescent="0.7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9.8" x14ac:dyDescent="0.7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9.8" x14ac:dyDescent="0.7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9.8" x14ac:dyDescent="0.7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9.8" x14ac:dyDescent="0.7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9.8" x14ac:dyDescent="0.7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9.8" x14ac:dyDescent="0.7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9.8" x14ac:dyDescent="0.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9.8" x14ac:dyDescent="0.7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9.8" x14ac:dyDescent="0.7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9.8" x14ac:dyDescent="0.7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9.8" x14ac:dyDescent="0.7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9.8" x14ac:dyDescent="0.7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9.8" x14ac:dyDescent="0.7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9.8" x14ac:dyDescent="0.7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9.8" x14ac:dyDescent="0.7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9.8" x14ac:dyDescent="0.7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9.8" x14ac:dyDescent="0.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9.8" x14ac:dyDescent="0.7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9.8" x14ac:dyDescent="0.7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9.8" x14ac:dyDescent="0.7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9.8" x14ac:dyDescent="0.7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9.8" x14ac:dyDescent="0.7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9.8" x14ac:dyDescent="0.7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9.8" x14ac:dyDescent="0.7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9.8" x14ac:dyDescent="0.7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9.8" x14ac:dyDescent="0.7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9.8" x14ac:dyDescent="0.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9.8" x14ac:dyDescent="0.7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9.8" x14ac:dyDescent="0.7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9.8" x14ac:dyDescent="0.7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9.8" x14ac:dyDescent="0.7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9.8" x14ac:dyDescent="0.7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9.8" x14ac:dyDescent="0.7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9.8" x14ac:dyDescent="0.7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9.8" x14ac:dyDescent="0.7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9.8" x14ac:dyDescent="0.7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9.8" x14ac:dyDescent="0.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9.8" x14ac:dyDescent="0.7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9.8" x14ac:dyDescent="0.7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9.8" x14ac:dyDescent="0.7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9.8" x14ac:dyDescent="0.7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9.8" x14ac:dyDescent="0.7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9.8" x14ac:dyDescent="0.7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9.8" x14ac:dyDescent="0.7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9.8" x14ac:dyDescent="0.7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9.8" x14ac:dyDescent="0.7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9.8" x14ac:dyDescent="0.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9.8" x14ac:dyDescent="0.7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9.8" x14ac:dyDescent="0.7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9.8" x14ac:dyDescent="0.7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9.8" x14ac:dyDescent="0.7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9.8" x14ac:dyDescent="0.7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9.8" x14ac:dyDescent="0.7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9.8" x14ac:dyDescent="0.7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9.8" x14ac:dyDescent="0.7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9.8" x14ac:dyDescent="0.7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9.8" x14ac:dyDescent="0.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9.8" x14ac:dyDescent="0.7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9.8" x14ac:dyDescent="0.7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9.8" x14ac:dyDescent="0.7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9.8" x14ac:dyDescent="0.7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9.8" x14ac:dyDescent="0.7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9.8" x14ac:dyDescent="0.7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9.8" x14ac:dyDescent="0.7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9.8" x14ac:dyDescent="0.7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9.8" x14ac:dyDescent="0.7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9.8" x14ac:dyDescent="0.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9.8" x14ac:dyDescent="0.7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9.8" x14ac:dyDescent="0.7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9.8" x14ac:dyDescent="0.7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9.8" x14ac:dyDescent="0.7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9.8" x14ac:dyDescent="0.7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9.8" x14ac:dyDescent="0.7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9.8" x14ac:dyDescent="0.7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9.8" x14ac:dyDescent="0.7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9.8" x14ac:dyDescent="0.7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9.8" x14ac:dyDescent="0.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9.8" x14ac:dyDescent="0.7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9.8" x14ac:dyDescent="0.7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9.8" x14ac:dyDescent="0.7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9.8" x14ac:dyDescent="0.7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9.8" x14ac:dyDescent="0.7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9.8" x14ac:dyDescent="0.7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9.8" x14ac:dyDescent="0.7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9.8" x14ac:dyDescent="0.7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9.8" x14ac:dyDescent="0.7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9.8" x14ac:dyDescent="0.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9.8" x14ac:dyDescent="0.7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9.8" x14ac:dyDescent="0.7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9.8" x14ac:dyDescent="0.7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9.8" x14ac:dyDescent="0.7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9.8" x14ac:dyDescent="0.7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9.8" x14ac:dyDescent="0.7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9.8" x14ac:dyDescent="0.7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9.8" x14ac:dyDescent="0.7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9.8" x14ac:dyDescent="0.7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9.8" x14ac:dyDescent="0.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9.8" x14ac:dyDescent="0.7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9.8" x14ac:dyDescent="0.7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9.8" x14ac:dyDescent="0.7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9.8" x14ac:dyDescent="0.7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9.8" x14ac:dyDescent="0.7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9.8" x14ac:dyDescent="0.7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9.8" x14ac:dyDescent="0.7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9.8" x14ac:dyDescent="0.7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9.8" x14ac:dyDescent="0.7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9.8" x14ac:dyDescent="0.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9.8" x14ac:dyDescent="0.7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9.8" x14ac:dyDescent="0.7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9.8" x14ac:dyDescent="0.7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9.8" x14ac:dyDescent="0.7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9.8" x14ac:dyDescent="0.7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9.8" x14ac:dyDescent="0.7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9.8" x14ac:dyDescent="0.7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9.8" x14ac:dyDescent="0.7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9.8" x14ac:dyDescent="0.7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9.8" x14ac:dyDescent="0.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9.8" x14ac:dyDescent="0.7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9.8" x14ac:dyDescent="0.7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9.8" x14ac:dyDescent="0.7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9.8" x14ac:dyDescent="0.7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9.8" x14ac:dyDescent="0.7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9.8" x14ac:dyDescent="0.7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9.8" x14ac:dyDescent="0.7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9.8" x14ac:dyDescent="0.7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9.8" x14ac:dyDescent="0.7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9.8" x14ac:dyDescent="0.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9.8" x14ac:dyDescent="0.7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9.8" x14ac:dyDescent="0.7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9.8" x14ac:dyDescent="0.7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9.8" x14ac:dyDescent="0.7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9.8" x14ac:dyDescent="0.7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9.8" x14ac:dyDescent="0.7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9.8" x14ac:dyDescent="0.7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9.8" x14ac:dyDescent="0.7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9.8" x14ac:dyDescent="0.7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9.8" x14ac:dyDescent="0.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9.8" x14ac:dyDescent="0.7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9.8" x14ac:dyDescent="0.7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9.8" x14ac:dyDescent="0.7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9.8" x14ac:dyDescent="0.7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9.8" x14ac:dyDescent="0.7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9.8" x14ac:dyDescent="0.7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9.8" x14ac:dyDescent="0.7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9.8" x14ac:dyDescent="0.7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9.8" x14ac:dyDescent="0.7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9.8" x14ac:dyDescent="0.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9.8" x14ac:dyDescent="0.7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9.8" x14ac:dyDescent="0.7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9.8" x14ac:dyDescent="0.7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9.8" x14ac:dyDescent="0.7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9.8" x14ac:dyDescent="0.7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9.8" x14ac:dyDescent="0.7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9.8" x14ac:dyDescent="0.7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9.8" x14ac:dyDescent="0.7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9.8" x14ac:dyDescent="0.7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9.8" x14ac:dyDescent="0.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9.8" x14ac:dyDescent="0.7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9.8" x14ac:dyDescent="0.7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9.8" x14ac:dyDescent="0.7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9.8" x14ac:dyDescent="0.7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9.8" x14ac:dyDescent="0.7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9.8" x14ac:dyDescent="0.7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9.8" x14ac:dyDescent="0.7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9.8" x14ac:dyDescent="0.7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9.8" x14ac:dyDescent="0.7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9.8" x14ac:dyDescent="0.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9.8" x14ac:dyDescent="0.7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9.8" x14ac:dyDescent="0.7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9.8" x14ac:dyDescent="0.7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9.8" x14ac:dyDescent="0.7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9.8" x14ac:dyDescent="0.7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9.8" x14ac:dyDescent="0.7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9.8" x14ac:dyDescent="0.7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9.8" x14ac:dyDescent="0.7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9.8" x14ac:dyDescent="0.7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9.8" x14ac:dyDescent="0.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9.8" x14ac:dyDescent="0.7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9.8" x14ac:dyDescent="0.7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9.8" x14ac:dyDescent="0.7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9.8" x14ac:dyDescent="0.7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9.8" x14ac:dyDescent="0.7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9.8" x14ac:dyDescent="0.7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9.8" x14ac:dyDescent="0.7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9.8" x14ac:dyDescent="0.7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9.8" x14ac:dyDescent="0.7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9.8" x14ac:dyDescent="0.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9.8" x14ac:dyDescent="0.7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9.8" x14ac:dyDescent="0.7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9.8" x14ac:dyDescent="0.7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9.8" x14ac:dyDescent="0.7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9.8" x14ac:dyDescent="0.7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9.8" x14ac:dyDescent="0.7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9.8" x14ac:dyDescent="0.7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9.8" x14ac:dyDescent="0.7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9.8" x14ac:dyDescent="0.7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9.8" x14ac:dyDescent="0.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9.8" x14ac:dyDescent="0.7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9.8" x14ac:dyDescent="0.7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9.8" x14ac:dyDescent="0.7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9.8" x14ac:dyDescent="0.7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9.8" x14ac:dyDescent="0.7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9.8" x14ac:dyDescent="0.7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9.8" x14ac:dyDescent="0.7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9.8" x14ac:dyDescent="0.7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9.8" x14ac:dyDescent="0.7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9.8" x14ac:dyDescent="0.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9.8" x14ac:dyDescent="0.7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9.8" x14ac:dyDescent="0.7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9.8" x14ac:dyDescent="0.7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9.8" x14ac:dyDescent="0.7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9.8" x14ac:dyDescent="0.7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9.8" x14ac:dyDescent="0.7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9.8" x14ac:dyDescent="0.7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9.8" x14ac:dyDescent="0.7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9.8" x14ac:dyDescent="0.7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9.8" x14ac:dyDescent="0.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9.8" x14ac:dyDescent="0.7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9.8" x14ac:dyDescent="0.7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9.8" x14ac:dyDescent="0.7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9.8" x14ac:dyDescent="0.7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9.8" x14ac:dyDescent="0.7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9.8" x14ac:dyDescent="0.7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9.8" x14ac:dyDescent="0.7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9.8" x14ac:dyDescent="0.7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9.8" x14ac:dyDescent="0.7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9.8" x14ac:dyDescent="0.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9.8" x14ac:dyDescent="0.7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9.8" x14ac:dyDescent="0.7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9.8" x14ac:dyDescent="0.7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9.8" x14ac:dyDescent="0.7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9.8" x14ac:dyDescent="0.7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9.8" x14ac:dyDescent="0.7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9.8" x14ac:dyDescent="0.7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9.8" x14ac:dyDescent="0.7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9.8" x14ac:dyDescent="0.7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9.8" x14ac:dyDescent="0.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9.8" x14ac:dyDescent="0.7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9.8" x14ac:dyDescent="0.7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9.8" x14ac:dyDescent="0.7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9.8" x14ac:dyDescent="0.7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9.8" x14ac:dyDescent="0.7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9.8" x14ac:dyDescent="0.7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9.8" x14ac:dyDescent="0.7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9.8" x14ac:dyDescent="0.7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9.8" x14ac:dyDescent="0.7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9.8" x14ac:dyDescent="0.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9.8" x14ac:dyDescent="0.7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9.8" x14ac:dyDescent="0.7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9.8" x14ac:dyDescent="0.7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9.8" x14ac:dyDescent="0.7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9.8" x14ac:dyDescent="0.7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9.8" x14ac:dyDescent="0.7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9.8" x14ac:dyDescent="0.7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9.8" x14ac:dyDescent="0.7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9.8" x14ac:dyDescent="0.7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9.8" x14ac:dyDescent="0.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9.8" x14ac:dyDescent="0.7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9.8" x14ac:dyDescent="0.7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9.8" x14ac:dyDescent="0.7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9.8" x14ac:dyDescent="0.7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9.8" x14ac:dyDescent="0.7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9.8" x14ac:dyDescent="0.7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9.8" x14ac:dyDescent="0.7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9.8" x14ac:dyDescent="0.7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9.8" x14ac:dyDescent="0.7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9.8" x14ac:dyDescent="0.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9.8" x14ac:dyDescent="0.7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9.8" x14ac:dyDescent="0.7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9.8" x14ac:dyDescent="0.7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9.8" x14ac:dyDescent="0.7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9.8" x14ac:dyDescent="0.7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9.8" x14ac:dyDescent="0.7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9.8" x14ac:dyDescent="0.7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9.8" x14ac:dyDescent="0.7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9.8" x14ac:dyDescent="0.7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9.8" x14ac:dyDescent="0.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9.8" x14ac:dyDescent="0.7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9.8" x14ac:dyDescent="0.7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9.8" x14ac:dyDescent="0.7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9.8" x14ac:dyDescent="0.7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9.8" x14ac:dyDescent="0.7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9.8" x14ac:dyDescent="0.7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9.8" x14ac:dyDescent="0.7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9.8" x14ac:dyDescent="0.7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9.8" x14ac:dyDescent="0.7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9.8" x14ac:dyDescent="0.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9.8" x14ac:dyDescent="0.7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9.8" x14ac:dyDescent="0.7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9.8" x14ac:dyDescent="0.7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9.8" x14ac:dyDescent="0.7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9.8" x14ac:dyDescent="0.7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9.8" x14ac:dyDescent="0.7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9.8" x14ac:dyDescent="0.7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9.8" x14ac:dyDescent="0.7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9.8" x14ac:dyDescent="0.7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9.8" x14ac:dyDescent="0.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9.8" x14ac:dyDescent="0.7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9.8" x14ac:dyDescent="0.7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9.8" x14ac:dyDescent="0.7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9.8" x14ac:dyDescent="0.7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9.8" x14ac:dyDescent="0.7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9.8" x14ac:dyDescent="0.7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9.8" x14ac:dyDescent="0.7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9.8" x14ac:dyDescent="0.7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9.8" x14ac:dyDescent="0.7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9.8" x14ac:dyDescent="0.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9.8" x14ac:dyDescent="0.7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9.8" x14ac:dyDescent="0.7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9.8" x14ac:dyDescent="0.7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9.8" x14ac:dyDescent="0.7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9.8" x14ac:dyDescent="0.7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9.8" x14ac:dyDescent="0.7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9.8" x14ac:dyDescent="0.7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9.8" x14ac:dyDescent="0.7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9.8" x14ac:dyDescent="0.7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9.8" x14ac:dyDescent="0.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9.8" x14ac:dyDescent="0.7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9.8" x14ac:dyDescent="0.7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9.8" x14ac:dyDescent="0.7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9.8" x14ac:dyDescent="0.7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9.8" x14ac:dyDescent="0.7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9.8" x14ac:dyDescent="0.7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9.8" x14ac:dyDescent="0.7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9.8" x14ac:dyDescent="0.7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9.8" x14ac:dyDescent="0.7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9.8" x14ac:dyDescent="0.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9.8" x14ac:dyDescent="0.7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9.8" x14ac:dyDescent="0.7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9.8" x14ac:dyDescent="0.7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9.8" x14ac:dyDescent="0.7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9.8" x14ac:dyDescent="0.7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9.8" x14ac:dyDescent="0.7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9.8" x14ac:dyDescent="0.7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9.8" x14ac:dyDescent="0.7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9.8" x14ac:dyDescent="0.7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9.8" x14ac:dyDescent="0.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9.8" x14ac:dyDescent="0.7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9.8" x14ac:dyDescent="0.7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9.8" x14ac:dyDescent="0.7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9.8" x14ac:dyDescent="0.7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9.8" x14ac:dyDescent="0.7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9.8" x14ac:dyDescent="0.7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9.8" x14ac:dyDescent="0.7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9.8" x14ac:dyDescent="0.7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9.8" x14ac:dyDescent="0.7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9.8" x14ac:dyDescent="0.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9.8" x14ac:dyDescent="0.7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9.8" x14ac:dyDescent="0.7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9.8" x14ac:dyDescent="0.7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9.8" x14ac:dyDescent="0.7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9.8" x14ac:dyDescent="0.7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9.8" x14ac:dyDescent="0.7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9.8" x14ac:dyDescent="0.7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9.8" x14ac:dyDescent="0.7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9.8" x14ac:dyDescent="0.7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9.8" x14ac:dyDescent="0.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9.8" x14ac:dyDescent="0.7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9.8" x14ac:dyDescent="0.7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9.8" x14ac:dyDescent="0.7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9.8" x14ac:dyDescent="0.7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9.8" x14ac:dyDescent="0.7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9.8" x14ac:dyDescent="0.7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9.8" x14ac:dyDescent="0.7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9.8" x14ac:dyDescent="0.7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9.8" x14ac:dyDescent="0.7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9.8" x14ac:dyDescent="0.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9.8" x14ac:dyDescent="0.7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9.8" x14ac:dyDescent="0.7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9.8" x14ac:dyDescent="0.7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9.8" x14ac:dyDescent="0.7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9.8" x14ac:dyDescent="0.7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9.8" x14ac:dyDescent="0.7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9.8" x14ac:dyDescent="0.7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9.8" x14ac:dyDescent="0.7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9.8" x14ac:dyDescent="0.7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9.8" x14ac:dyDescent="0.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9.8" x14ac:dyDescent="0.7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9.8" x14ac:dyDescent="0.7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9.8" x14ac:dyDescent="0.7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9.8" x14ac:dyDescent="0.7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9.8" x14ac:dyDescent="0.7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9.8" x14ac:dyDescent="0.7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9.8" x14ac:dyDescent="0.7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9.8" x14ac:dyDescent="0.7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9.8" x14ac:dyDescent="0.7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9.8" x14ac:dyDescent="0.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9.8" x14ac:dyDescent="0.7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9.8" x14ac:dyDescent="0.7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9.8" x14ac:dyDescent="0.7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9.8" x14ac:dyDescent="0.7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9.8" x14ac:dyDescent="0.7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9.8" x14ac:dyDescent="0.7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9.8" x14ac:dyDescent="0.7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9.8" x14ac:dyDescent="0.7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9.8" x14ac:dyDescent="0.7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9.8" x14ac:dyDescent="0.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9.8" x14ac:dyDescent="0.7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9.8" x14ac:dyDescent="0.7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9.8" x14ac:dyDescent="0.7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9.8" x14ac:dyDescent="0.7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9.8" x14ac:dyDescent="0.7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9.8" x14ac:dyDescent="0.7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9.8" x14ac:dyDescent="0.7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9.8" x14ac:dyDescent="0.7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9.8" x14ac:dyDescent="0.7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9.8" x14ac:dyDescent="0.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9.8" x14ac:dyDescent="0.7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9.8" x14ac:dyDescent="0.7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9.8" x14ac:dyDescent="0.7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9.8" x14ac:dyDescent="0.7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9.8" x14ac:dyDescent="0.7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9.8" x14ac:dyDescent="0.7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9.8" x14ac:dyDescent="0.7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9.8" x14ac:dyDescent="0.7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9.8" x14ac:dyDescent="0.7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9.8" x14ac:dyDescent="0.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9.8" x14ac:dyDescent="0.7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9.8" x14ac:dyDescent="0.7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9.8" x14ac:dyDescent="0.7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9.8" x14ac:dyDescent="0.7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9.8" x14ac:dyDescent="0.7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9.8" x14ac:dyDescent="0.7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9.8" x14ac:dyDescent="0.7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9.8" x14ac:dyDescent="0.7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9.8" x14ac:dyDescent="0.7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9.8" x14ac:dyDescent="0.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9.8" x14ac:dyDescent="0.7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9.8" x14ac:dyDescent="0.7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9.8" x14ac:dyDescent="0.7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9.8" x14ac:dyDescent="0.7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9.8" x14ac:dyDescent="0.7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9.8" x14ac:dyDescent="0.7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9.8" x14ac:dyDescent="0.7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9.8" x14ac:dyDescent="0.7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9.8" x14ac:dyDescent="0.7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9.8" x14ac:dyDescent="0.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9.8" x14ac:dyDescent="0.7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9.8" x14ac:dyDescent="0.7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9.8" x14ac:dyDescent="0.7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9.8" x14ac:dyDescent="0.7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9.8" x14ac:dyDescent="0.7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9.8" x14ac:dyDescent="0.7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9.8" x14ac:dyDescent="0.7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9.8" x14ac:dyDescent="0.7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9.8" x14ac:dyDescent="0.7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9.8" x14ac:dyDescent="0.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9.8" x14ac:dyDescent="0.7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9.8" x14ac:dyDescent="0.7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9.8" x14ac:dyDescent="0.7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9.8" x14ac:dyDescent="0.7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9.8" x14ac:dyDescent="0.7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9.8" x14ac:dyDescent="0.7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9.8" x14ac:dyDescent="0.7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9.8" x14ac:dyDescent="0.7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9.8" x14ac:dyDescent="0.7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9.8" x14ac:dyDescent="0.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9.8" x14ac:dyDescent="0.7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9.8" x14ac:dyDescent="0.7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9.8" x14ac:dyDescent="0.7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9.8" x14ac:dyDescent="0.7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9.8" x14ac:dyDescent="0.7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9.8" x14ac:dyDescent="0.7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9.8" x14ac:dyDescent="0.7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9.8" x14ac:dyDescent="0.7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9.8" x14ac:dyDescent="0.7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9.8" x14ac:dyDescent="0.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9.8" x14ac:dyDescent="0.7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9.8" x14ac:dyDescent="0.7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9.8" x14ac:dyDescent="0.7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9.8" x14ac:dyDescent="0.7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9.8" x14ac:dyDescent="0.7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9.8" x14ac:dyDescent="0.7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9.8" x14ac:dyDescent="0.7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9.8" x14ac:dyDescent="0.7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9.8" x14ac:dyDescent="0.7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9.8" x14ac:dyDescent="0.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9.8" x14ac:dyDescent="0.7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9.8" x14ac:dyDescent="0.7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9.8" x14ac:dyDescent="0.7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9.8" x14ac:dyDescent="0.7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9.8" x14ac:dyDescent="0.7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9.8" x14ac:dyDescent="0.7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9.8" x14ac:dyDescent="0.7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9.8" x14ac:dyDescent="0.7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9.8" x14ac:dyDescent="0.7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9.8" x14ac:dyDescent="0.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9.8" x14ac:dyDescent="0.7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9.8" x14ac:dyDescent="0.7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9.8" x14ac:dyDescent="0.7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9.8" x14ac:dyDescent="0.7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9.8" x14ac:dyDescent="0.7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9.8" x14ac:dyDescent="0.7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9.8" x14ac:dyDescent="0.7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9.8" x14ac:dyDescent="0.7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9.8" x14ac:dyDescent="0.7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9.8" x14ac:dyDescent="0.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9.8" x14ac:dyDescent="0.7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9.8" x14ac:dyDescent="0.7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9.8" x14ac:dyDescent="0.7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9.8" x14ac:dyDescent="0.7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9.8" x14ac:dyDescent="0.7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9.8" x14ac:dyDescent="0.7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9.8" x14ac:dyDescent="0.7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9.8" x14ac:dyDescent="0.7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9.8" x14ac:dyDescent="0.7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9.8" x14ac:dyDescent="0.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9.8" x14ac:dyDescent="0.7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9.8" x14ac:dyDescent="0.7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9.8" x14ac:dyDescent="0.7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9.8" x14ac:dyDescent="0.7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9.8" x14ac:dyDescent="0.7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9.8" x14ac:dyDescent="0.7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9.8" x14ac:dyDescent="0.7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9.8" x14ac:dyDescent="0.7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9.8" x14ac:dyDescent="0.7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9.8" x14ac:dyDescent="0.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9.8" x14ac:dyDescent="0.7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9.8" x14ac:dyDescent="0.7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9.8" x14ac:dyDescent="0.7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9.8" x14ac:dyDescent="0.7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9.8" x14ac:dyDescent="0.7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9.8" x14ac:dyDescent="0.7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9.8" x14ac:dyDescent="0.7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9.8" x14ac:dyDescent="0.7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9.8" x14ac:dyDescent="0.7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9.8" x14ac:dyDescent="0.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9.8" x14ac:dyDescent="0.7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9.8" x14ac:dyDescent="0.7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9.8" x14ac:dyDescent="0.7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9.8" x14ac:dyDescent="0.7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9.8" x14ac:dyDescent="0.7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9.8" x14ac:dyDescent="0.7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9.8" x14ac:dyDescent="0.7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9.8" x14ac:dyDescent="0.7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9.8" x14ac:dyDescent="0.7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9.8" x14ac:dyDescent="0.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9.8" x14ac:dyDescent="0.7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9.8" x14ac:dyDescent="0.7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9.8" x14ac:dyDescent="0.7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9.8" x14ac:dyDescent="0.7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9.8" x14ac:dyDescent="0.7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9.8" x14ac:dyDescent="0.7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9.8" x14ac:dyDescent="0.7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9.8" x14ac:dyDescent="0.7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9.8" x14ac:dyDescent="0.7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9.8" x14ac:dyDescent="0.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9.8" x14ac:dyDescent="0.7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9.8" x14ac:dyDescent="0.7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9.8" x14ac:dyDescent="0.7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9.8" x14ac:dyDescent="0.7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9.8" x14ac:dyDescent="0.7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9.8" x14ac:dyDescent="0.7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9.8" x14ac:dyDescent="0.7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9.8" x14ac:dyDescent="0.7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9.8" x14ac:dyDescent="0.7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9.8" x14ac:dyDescent="0.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9.8" x14ac:dyDescent="0.7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9.8" x14ac:dyDescent="0.7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9.8" x14ac:dyDescent="0.7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9.8" x14ac:dyDescent="0.7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9.8" x14ac:dyDescent="0.7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9.8" x14ac:dyDescent="0.7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9.8" x14ac:dyDescent="0.7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9.8" x14ac:dyDescent="0.7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9.8" x14ac:dyDescent="0.7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9.8" x14ac:dyDescent="0.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9.8" x14ac:dyDescent="0.7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9.8" x14ac:dyDescent="0.7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9.8" x14ac:dyDescent="0.7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9.8" x14ac:dyDescent="0.7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9.8" x14ac:dyDescent="0.7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9.8" x14ac:dyDescent="0.7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9.8" x14ac:dyDescent="0.7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9.8" x14ac:dyDescent="0.7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9.8" x14ac:dyDescent="0.7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9.8" x14ac:dyDescent="0.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9.8" x14ac:dyDescent="0.7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9.8" x14ac:dyDescent="0.7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9.8" x14ac:dyDescent="0.7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9.8" x14ac:dyDescent="0.7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9.8" x14ac:dyDescent="0.7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9.8" x14ac:dyDescent="0.7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9.8" x14ac:dyDescent="0.7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9.8" x14ac:dyDescent="0.7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9.8" x14ac:dyDescent="0.7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9.8" x14ac:dyDescent="0.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9.8" x14ac:dyDescent="0.7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9.8" x14ac:dyDescent="0.7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9.8" x14ac:dyDescent="0.7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9.8" x14ac:dyDescent="0.7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9.8" x14ac:dyDescent="0.7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9.8" x14ac:dyDescent="0.7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9.8" x14ac:dyDescent="0.7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9.8" x14ac:dyDescent="0.7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9.8" x14ac:dyDescent="0.7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9.8" x14ac:dyDescent="0.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9.8" x14ac:dyDescent="0.7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9.8" x14ac:dyDescent="0.7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9.8" x14ac:dyDescent="0.7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9.8" x14ac:dyDescent="0.7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9.8" x14ac:dyDescent="0.7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9.8" x14ac:dyDescent="0.7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9.8" x14ac:dyDescent="0.7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9.8" x14ac:dyDescent="0.7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9.8" x14ac:dyDescent="0.7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9.8" x14ac:dyDescent="0.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9.8" x14ac:dyDescent="0.7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9.8" x14ac:dyDescent="0.7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9.8" x14ac:dyDescent="0.7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9.8" x14ac:dyDescent="0.7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9.8" x14ac:dyDescent="0.7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9.8" x14ac:dyDescent="0.7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9.8" x14ac:dyDescent="0.7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9.8" x14ac:dyDescent="0.7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9.8" x14ac:dyDescent="0.7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9.8" x14ac:dyDescent="0.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9.8" x14ac:dyDescent="0.7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9.8" x14ac:dyDescent="0.7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9.8" x14ac:dyDescent="0.7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9.8" x14ac:dyDescent="0.7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9.8" x14ac:dyDescent="0.7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9.8" x14ac:dyDescent="0.7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9.8" x14ac:dyDescent="0.7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9.8" x14ac:dyDescent="0.7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9.8" x14ac:dyDescent="0.7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9.8" x14ac:dyDescent="0.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9.8" x14ac:dyDescent="0.7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9.8" x14ac:dyDescent="0.7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9.8" x14ac:dyDescent="0.7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9.8" x14ac:dyDescent="0.7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9.8" x14ac:dyDescent="0.7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9.8" x14ac:dyDescent="0.7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9.8" x14ac:dyDescent="0.7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9.8" x14ac:dyDescent="0.7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9.8" x14ac:dyDescent="0.7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9.8" x14ac:dyDescent="0.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9.8" x14ac:dyDescent="0.7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9.8" x14ac:dyDescent="0.7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9.8" x14ac:dyDescent="0.7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9.8" x14ac:dyDescent="0.7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9.8" x14ac:dyDescent="0.7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9.8" x14ac:dyDescent="0.7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9.8" x14ac:dyDescent="0.7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9.8" x14ac:dyDescent="0.7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9.8" x14ac:dyDescent="0.7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9.8" x14ac:dyDescent="0.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9.8" x14ac:dyDescent="0.7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9.8" x14ac:dyDescent="0.7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9.8" x14ac:dyDescent="0.7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9.8" x14ac:dyDescent="0.7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9.8" x14ac:dyDescent="0.7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9.8" x14ac:dyDescent="0.7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9.8" x14ac:dyDescent="0.7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9.8" x14ac:dyDescent="0.7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9.8" x14ac:dyDescent="0.7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9.8" x14ac:dyDescent="0.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9.8" x14ac:dyDescent="0.7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9.8" x14ac:dyDescent="0.7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9.8" x14ac:dyDescent="0.7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9.8" x14ac:dyDescent="0.7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9.8" x14ac:dyDescent="0.7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9.8" x14ac:dyDescent="0.7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9.8" x14ac:dyDescent="0.7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9.8" x14ac:dyDescent="0.7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9.8" x14ac:dyDescent="0.7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9.8" x14ac:dyDescent="0.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9.8" x14ac:dyDescent="0.7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9.8" x14ac:dyDescent="0.7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9.8" x14ac:dyDescent="0.7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9.8" x14ac:dyDescent="0.7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9.8" x14ac:dyDescent="0.7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9.8" x14ac:dyDescent="0.7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9.8" x14ac:dyDescent="0.7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9.8" x14ac:dyDescent="0.7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9.8" x14ac:dyDescent="0.7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9.8" x14ac:dyDescent="0.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9.8" x14ac:dyDescent="0.7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9.8" x14ac:dyDescent="0.7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9.8" x14ac:dyDescent="0.7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9.8" x14ac:dyDescent="0.7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9.8" x14ac:dyDescent="0.7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9.8" x14ac:dyDescent="0.7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9.8" x14ac:dyDescent="0.7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9.8" x14ac:dyDescent="0.7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9.8" x14ac:dyDescent="0.7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9.8" x14ac:dyDescent="0.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9.8" x14ac:dyDescent="0.7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9.8" x14ac:dyDescent="0.7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9.8" x14ac:dyDescent="0.7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9.8" x14ac:dyDescent="0.7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9.8" x14ac:dyDescent="0.7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9.8" x14ac:dyDescent="0.7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9.8" x14ac:dyDescent="0.7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9.8" x14ac:dyDescent="0.7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9.8" x14ac:dyDescent="0.7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9.8" x14ac:dyDescent="0.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9.8" x14ac:dyDescent="0.7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9.8" x14ac:dyDescent="0.7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9.8" x14ac:dyDescent="0.7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9.8" x14ac:dyDescent="0.7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9.8" x14ac:dyDescent="0.7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9.8" x14ac:dyDescent="0.7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9.8" x14ac:dyDescent="0.7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9.8" x14ac:dyDescent="0.7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9.8" x14ac:dyDescent="0.7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9.8" x14ac:dyDescent="0.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9.8" x14ac:dyDescent="0.7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9.8" x14ac:dyDescent="0.7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9.8" x14ac:dyDescent="0.7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9.8" x14ac:dyDescent="0.7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9.8" x14ac:dyDescent="0.7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9.8" x14ac:dyDescent="0.7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9.8" x14ac:dyDescent="0.7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9.8" x14ac:dyDescent="0.7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9.8" x14ac:dyDescent="0.7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9.8" x14ac:dyDescent="0.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9.8" x14ac:dyDescent="0.7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9.8" x14ac:dyDescent="0.7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9.8" x14ac:dyDescent="0.7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9.8" x14ac:dyDescent="0.7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9.8" x14ac:dyDescent="0.7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9.8" x14ac:dyDescent="0.7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9.8" x14ac:dyDescent="0.7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9.8" x14ac:dyDescent="0.7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9.8" x14ac:dyDescent="0.7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9.8" x14ac:dyDescent="0.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9.8" x14ac:dyDescent="0.7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9.8" x14ac:dyDescent="0.7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9.8" x14ac:dyDescent="0.7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9.8" x14ac:dyDescent="0.7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9.8" x14ac:dyDescent="0.7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9.8" x14ac:dyDescent="0.7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9.8" x14ac:dyDescent="0.7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9.8" x14ac:dyDescent="0.7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9.8" x14ac:dyDescent="0.7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9.8" x14ac:dyDescent="0.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9.8" x14ac:dyDescent="0.7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9.8" x14ac:dyDescent="0.7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9.8" x14ac:dyDescent="0.7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9.8" x14ac:dyDescent="0.7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9.8" x14ac:dyDescent="0.7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9.8" x14ac:dyDescent="0.7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9.8" x14ac:dyDescent="0.7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9.8" x14ac:dyDescent="0.7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9.8" x14ac:dyDescent="0.7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9.8" x14ac:dyDescent="0.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9.8" x14ac:dyDescent="0.7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9.8" x14ac:dyDescent="0.7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9.8" x14ac:dyDescent="0.7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9.8" x14ac:dyDescent="0.7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9.8" x14ac:dyDescent="0.7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9.8" x14ac:dyDescent="0.7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9.8" x14ac:dyDescent="0.7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9.8" x14ac:dyDescent="0.7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9.8" x14ac:dyDescent="0.7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9.8" x14ac:dyDescent="0.7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9.8" x14ac:dyDescent="0.7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9.8" x14ac:dyDescent="0.7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9.8" x14ac:dyDescent="0.7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9.8" x14ac:dyDescent="0.7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</sheetData>
  <mergeCells count="7">
    <mergeCell ref="A28:D28"/>
    <mergeCell ref="A54:D54"/>
    <mergeCell ref="C15:C17"/>
    <mergeCell ref="A1:D1"/>
    <mergeCell ref="A2:D2"/>
    <mergeCell ref="C6:C8"/>
    <mergeCell ref="C11:C14"/>
  </mergeCells>
  <conditionalFormatting sqref="A4">
    <cfRule type="expression" dxfId="20" priority="1">
      <formula>B3&lt;&gt;"Plus"</formula>
    </cfRule>
  </conditionalFormatting>
  <conditionalFormatting sqref="A5">
    <cfRule type="expression" dxfId="19" priority="3">
      <formula>B3&lt;&gt;"Plus"</formula>
    </cfRule>
    <cfRule type="expression" dxfId="18" priority="4">
      <formula>AND(B3="Plus",B4="")</formula>
    </cfRule>
  </conditionalFormatting>
  <conditionalFormatting sqref="A6">
    <cfRule type="expression" dxfId="17" priority="5">
      <formula>B3=""</formula>
    </cfRule>
    <cfRule type="expression" dxfId="16" priority="6">
      <formula>AND(B3="Plus",B4="")</formula>
    </cfRule>
  </conditionalFormatting>
  <conditionalFormatting sqref="A7:A8">
    <cfRule type="expression" dxfId="15" priority="7">
      <formula>B3&lt;&gt;"Plus"</formula>
    </cfRule>
    <cfRule type="expression" dxfId="14" priority="8">
      <formula>AND(B3="Plus",B4="")</formula>
    </cfRule>
  </conditionalFormatting>
  <conditionalFormatting sqref="A9">
    <cfRule type="expression" dxfId="13" priority="9">
      <formula>B6=""</formula>
    </cfRule>
    <cfRule type="expression" dxfId="12" priority="10">
      <formula>B3&lt;&gt;"Plus"</formula>
    </cfRule>
  </conditionalFormatting>
  <conditionalFormatting sqref="A10">
    <cfRule type="expression" dxfId="11" priority="11">
      <formula>AND(B7="",B8="")</formula>
    </cfRule>
  </conditionalFormatting>
  <conditionalFormatting sqref="A11">
    <cfRule type="expression" dxfId="10" priority="12">
      <formula>B3=""</formula>
    </cfRule>
    <cfRule type="expression" dxfId="9" priority="13">
      <formula>AND(B3="Plus",B4="")</formula>
    </cfRule>
  </conditionalFormatting>
  <conditionalFormatting sqref="A12">
    <cfRule type="expression" dxfId="8" priority="14">
      <formula>SUM(B6:B8)&lt;2</formula>
    </cfRule>
  </conditionalFormatting>
  <conditionalFormatting sqref="A13">
    <cfRule type="expression" dxfId="7" priority="15">
      <formula>SUM(B6:B8)&lt;3</formula>
    </cfRule>
  </conditionalFormatting>
  <conditionalFormatting sqref="A14">
    <cfRule type="expression" dxfId="6" priority="16">
      <formula>SUM(B6:B8)&lt;4</formula>
    </cfRule>
  </conditionalFormatting>
  <conditionalFormatting sqref="A15">
    <cfRule type="expression" dxfId="5" priority="17">
      <formula>B3=""</formula>
    </cfRule>
    <cfRule type="expression" dxfId="4" priority="18">
      <formula>AND(B3="Plus",B4="")</formula>
    </cfRule>
  </conditionalFormatting>
  <conditionalFormatting sqref="A16">
    <cfRule type="expression" dxfId="3" priority="19">
      <formula>B3&lt;&gt;"Plus"</formula>
    </cfRule>
    <cfRule type="expression" dxfId="2" priority="20">
      <formula>AND(B3="Plus",B4="")</formula>
    </cfRule>
  </conditionalFormatting>
  <conditionalFormatting sqref="A17">
    <cfRule type="expression" dxfId="1" priority="21">
      <formula>B3&lt;&gt;"Plus"</formula>
    </cfRule>
    <cfRule type="expression" dxfId="0" priority="22">
      <formula>AND(B3="Plus",B4="")</formula>
    </cfRule>
  </conditionalFormatting>
  <dataValidations count="2">
    <dataValidation type="list" allowBlank="1" showErrorMessage="1" sqref="B3" xr:uid="{00000000-0002-0000-0000-00000B000000}">
      <formula1>"Plus,Bodypack Converter"</formula1>
    </dataValidation>
    <dataValidation type="list" allowBlank="1" showErrorMessage="1" sqref="B15" xr:uid="{00000000-0002-0000-0000-00000E000000}">
      <formula1>"Yes"</formula1>
    </dataValidation>
  </dataValidation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00000000-0002-0000-0000-000000000000}">
          <x14:formula1>
            <xm:f>'Input for bundle selection'!$A$22:$A$26</xm:f>
          </x14:formula1>
          <xm:sqref>B7</xm:sqref>
        </x14:dataValidation>
        <x14:dataValidation type="list" allowBlank="1" showErrorMessage="1" xr:uid="{00000000-0002-0000-0000-000001000000}">
          <x14:formula1>
            <xm:f>'Input for bundle selection'!$A$75</xm:f>
          </x14:formula1>
          <xm:sqref>B17</xm:sqref>
        </x14:dataValidation>
        <x14:dataValidation type="list" allowBlank="1" showErrorMessage="1" xr:uid="{00000000-0002-0000-0000-000002000000}">
          <x14:formula1>
            <xm:f>'Input for bundle selection'!$A$29:$A$33</xm:f>
          </x14:formula1>
          <xm:sqref>B8</xm:sqref>
        </x14:dataValidation>
        <x14:dataValidation type="list" allowBlank="1" showErrorMessage="1" xr:uid="{00000000-0002-0000-0000-000003000000}">
          <x14:formula1>
            <xm:f>'Input for bundle selection'!$A$15:$A$19</xm:f>
          </x14:formula1>
          <xm:sqref>B6</xm:sqref>
        </x14:dataValidation>
        <x14:dataValidation type="list" allowBlank="1" showErrorMessage="1" xr:uid="{00000000-0002-0000-0000-000004000000}">
          <x14:formula1>
            <xm:f>'Input for bundle selection'!$A$36</xm:f>
          </x14:formula1>
          <xm:sqref>B9</xm:sqref>
        </x14:dataValidation>
        <x14:dataValidation type="list" allowBlank="1" showErrorMessage="1" xr:uid="{00000000-0002-0000-0000-000005000000}">
          <x14:formula1>
            <xm:f>'Input for bundle selection'!$A$6:$A$7</xm:f>
          </x14:formula1>
          <xm:sqref>B4</xm:sqref>
        </x14:dataValidation>
        <x14:dataValidation type="list" allowBlank="1" showErrorMessage="1" xr:uid="{00000000-0002-0000-0000-000006000000}">
          <x14:formula1>
            <xm:f>'Input for bundle selection'!$A$57:$A$61</xm:f>
          </x14:formula1>
          <xm:sqref>B13</xm:sqref>
        </x14:dataValidation>
        <x14:dataValidation type="list" allowBlank="1" showErrorMessage="1" xr:uid="{00000000-0002-0000-0000-000007000000}">
          <x14:formula1>
            <xm:f>'Input for bundle selection'!$A$50:$A$54</xm:f>
          </x14:formula1>
          <xm:sqref>B12</xm:sqref>
        </x14:dataValidation>
        <x14:dataValidation type="list" allowBlank="1" showErrorMessage="1" xr:uid="{00000000-0002-0000-0000-000008000000}">
          <x14:formula1>
            <xm:f>'Input for bundle selection'!$A$64:$A$68</xm:f>
          </x14:formula1>
          <xm:sqref>B14</xm:sqref>
        </x14:dataValidation>
        <x14:dataValidation type="list" allowBlank="1" showErrorMessage="1" xr:uid="{00000000-0002-0000-0000-000009000000}">
          <x14:formula1>
            <xm:f>'Input for bundle selection'!$A$39:$A$40</xm:f>
          </x14:formula1>
          <xm:sqref>B10</xm:sqref>
        </x14:dataValidation>
        <x14:dataValidation type="list" allowBlank="1" showErrorMessage="1" xr:uid="{00000000-0002-0000-0000-00000A000000}">
          <x14:formula1>
            <xm:f>'Input for bundle selection'!$A$43:$A$47</xm:f>
          </x14:formula1>
          <xm:sqref>B11</xm:sqref>
        </x14:dataValidation>
        <x14:dataValidation type="list" allowBlank="1" showErrorMessage="1" xr:uid="{00000000-0002-0000-0000-00000C000000}">
          <x14:formula1>
            <xm:f>'Input for bundle selection'!$A$72</xm:f>
          </x14:formula1>
          <xm:sqref>B16</xm:sqref>
        </x14:dataValidation>
        <x14:dataValidation type="list" allowBlank="1" showErrorMessage="1" xr:uid="{00000000-0002-0000-0000-00000D000000}">
          <x14:formula1>
            <xm:f>'Input for bundle selection'!$A$11:$A$12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AD922"/>
  <sheetViews>
    <sheetView tabSelected="1" workbookViewId="0">
      <pane ySplit="4" topLeftCell="A5" activePane="bottomLeft" state="frozen"/>
      <selection pane="bottomLeft" activeCell="I6" sqref="I6"/>
    </sheetView>
  </sheetViews>
  <sheetFormatPr defaultColWidth="12.5546875" defaultRowHeight="15" customHeight="1" x14ac:dyDescent="0.25"/>
  <cols>
    <col min="1" max="1" width="32.44140625" customWidth="1"/>
    <col min="2" max="2" width="108.6640625" customWidth="1"/>
    <col min="3" max="3" width="10" customWidth="1"/>
    <col min="4" max="4" width="7.6640625" customWidth="1"/>
    <col min="5" max="5" width="10" customWidth="1"/>
    <col min="6" max="16" width="7.6640625" customWidth="1"/>
    <col min="17" max="18" width="12.5546875" customWidth="1"/>
  </cols>
  <sheetData>
    <row r="1" spans="1:30" ht="13.2" hidden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 t="str">
        <f>IF(Q4="Standard - Red",'SKU Builder'!C41,IF(Q4="Standard - Blue",'SKU Builder'!C42,IF(Q4="Standard - Yellow",'SKU Builder'!C43,IF(Q4="Standard - Navy",'SKU Builder'!C44,""))))</f>
        <v>A</v>
      </c>
      <c r="R1" s="52" t="str">
        <f>'SKU Builder'!J18</f>
        <v>E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7.399999999999999" hidden="1" x14ac:dyDescent="0.6">
      <c r="A2" s="51"/>
      <c r="B2" s="53" t="s">
        <v>21</v>
      </c>
      <c r="C2" s="51"/>
      <c r="D2" s="51"/>
      <c r="E2" s="54" t="str">
        <f>'SKU Builder'!C3</f>
        <v>P</v>
      </c>
      <c r="F2" s="54" t="str">
        <f>'SKU Builder'!C15</f>
        <v>A</v>
      </c>
      <c r="G2" s="54" t="str">
        <f>'SKU Builder'!C16</f>
        <v>B</v>
      </c>
      <c r="H2" s="54" t="str">
        <f>'SKU Builder'!C17</f>
        <v>C</v>
      </c>
      <c r="I2" s="54" t="str">
        <f>'SKU Builder'!C18</f>
        <v>D</v>
      </c>
      <c r="J2" s="54" t="str">
        <f>'SKU Builder'!C25</f>
        <v>A</v>
      </c>
      <c r="K2" s="54" t="str">
        <f>'SKU Builder'!C26</f>
        <v>B</v>
      </c>
      <c r="L2" s="54" t="str">
        <f>'SKU Builder'!C27</f>
        <v>C</v>
      </c>
      <c r="M2" s="54" t="str">
        <f>'SKU Builder'!C35</f>
        <v>A</v>
      </c>
      <c r="N2" s="54" t="str">
        <f>'SKU Builder'!C36</f>
        <v>B</v>
      </c>
      <c r="O2" s="54" t="str">
        <f>'SKU Builder'!C37</f>
        <v>C</v>
      </c>
      <c r="P2" s="54"/>
      <c r="Q2" s="54" t="str">
        <f>IF(Q4="Standard - Red",'SKU Builder'!C46,IF(Q4="Standard - Blue",'SKU Builder'!C47,IF(Q4="Standard - Yellow",'SKU Builder'!C48,IF(Q4="Standard - Navy",'SKU Builder'!C49,""))))</f>
        <v>F</v>
      </c>
      <c r="R2" s="54" t="str">
        <f>'SKU Builder'!M18</f>
        <v>J</v>
      </c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7.399999999999999" hidden="1" x14ac:dyDescent="0.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4" t="str">
        <f>IF(Q4="Standard - Red",'SKU Builder'!C51,IF(Q4="Standard - Blue",'SKU Builder'!C52,IF(Q4="Standard - Yellow",'SKU Builder'!C53,IF(Q4="Standard - Navy",'SKU Builder'!C54,""))))</f>
        <v>K</v>
      </c>
      <c r="R3" s="54" t="str">
        <f>'SKU Builder'!P18</f>
        <v>O</v>
      </c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63.75" customHeight="1" x14ac:dyDescent="0.6">
      <c r="A4" s="55" t="s">
        <v>21</v>
      </c>
      <c r="B4" s="56" t="s">
        <v>30</v>
      </c>
      <c r="C4" s="57" t="s">
        <v>31</v>
      </c>
      <c r="D4" s="57"/>
      <c r="E4" s="57" t="s">
        <v>32</v>
      </c>
      <c r="F4" s="57" t="s">
        <v>33</v>
      </c>
      <c r="G4" s="57" t="s">
        <v>34</v>
      </c>
      <c r="H4" s="57" t="s">
        <v>35</v>
      </c>
      <c r="I4" s="57" t="s">
        <v>36</v>
      </c>
      <c r="J4" s="57" t="s">
        <v>37</v>
      </c>
      <c r="K4" s="57" t="s">
        <v>38</v>
      </c>
      <c r="L4" s="57" t="s">
        <v>39</v>
      </c>
      <c r="M4" s="57" t="s">
        <v>40</v>
      </c>
      <c r="N4" s="57" t="s">
        <v>41</v>
      </c>
      <c r="O4" s="57" t="s">
        <v>42</v>
      </c>
      <c r="P4" s="57" t="s">
        <v>43</v>
      </c>
      <c r="Q4" s="57" t="s">
        <v>44</v>
      </c>
      <c r="R4" s="57" t="s">
        <v>45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ht="19.8" x14ac:dyDescent="0.7">
      <c r="A5" s="59" t="s">
        <v>46</v>
      </c>
      <c r="B5" s="53"/>
      <c r="C5" s="60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9.8" x14ac:dyDescent="0.7">
      <c r="A6" s="53" t="str">
        <f t="shared" ref="A6:A177" si="0">IF(E6="x", $E$2, "") &amp;
IF(F6="x", $F$2, "") &amp;
IF(G6="x", $G$2, "") &amp;
IF(H6="x", $H$2, "") &amp;
IF(I6="x", $I$2, "") &amp;
IF(J6=1, $J$2,
    IF(J6=2, $J$2 &amp; $J$2,
        IF(J6=3, $J$2 &amp; $J$2 &amp; $J$2,
            IF(J6=4, $J$2 &amp; $J$2 &amp; $J$2 &amp; $J$2, "")
        )
    )
) &amp;
IF(K6=1, $K$2,
    IF(K6=2, $K$2 &amp; $K$2,
        IF(K6=3, $K$2 &amp; $K$2 &amp; $K$2,
            IF(K6=4, $K$2 &amp; $K$2 &amp; $K$2 &amp; $K$2, "")
        )
    )
) &amp;
IF(L6=1, $L$2,
    IF(L6=2, $L$2 &amp; $L$2,
        IF(L6=3, $L$2 &amp; $L$2 &amp; $L$2,
            IF(L6=4, $L$2 &amp; $L$2 &amp; $L$2 &amp; $L$2, "")
        )
    )
) &amp;
IF(SUM(J6:L6)=1,"000", IF(SUM(J6:L6)=2,"00",IF(SUM(J6:L6)=3,"0",IF(SUM(J6:L6)=4,"")))) &amp;
IF(M6=1, $M$2,
    IF(M6=2, $M$2 &amp; $M$2,
        IF(M6=3, $M$2 &amp; $M$2 &amp; $M$2,
            IF(M6=4, $M$2 &amp; $M$2 &amp; $M$2 &amp; $M$2, "")
        )
    )
) &amp;
IF(N6=1, $N$2,
    IF(N6=2, $N$2 &amp; $N$2,
        IF(N6=3, $N$2 &amp; $N$2 &amp; $N$2,
            IF(N6=4, $N$2 &amp; $N$2 &amp; $N$2 &amp; $N$2, "")
        )
    )
) &amp;
IF(O6=1, $O$2,
    IF(O6=2, $O$2 &amp; $O$2, "")
) &amp;
IF(SUM(M6:O6)=1,"000",IF(SUM(M6:O6)=2,"00",IF(SUM(M6:O6)=3,"0",IF(SUM(M6:O6)=4,""))))&amp;
IF(AND(Q6="x", J6=1), $Q$1,
    IF(AND(Q6="x", J6=2), $Q$1 &amp; $Q$1,
        IF(AND(Q6="x", J6=3), $Q$1 &amp; $Q$1 &amp; $Q$1,
            IF(AND(Q6="x", J6=4), $Q$1 &amp; $Q$1 &amp; $Q$1 &amp; $Q$1, "")
        )
    )
) &amp;
IF(AND(R6="x", J6=1), $R$1,
    IF(AND(R6="x", J6=2), $R$1 &amp; $R$1,
        IF(AND(R6="x", J6=3), $R$1 &amp; $R$1 &amp; $R$1,
            IF(AND(R6="x", J6=4), $R$1 &amp; $R$1 &amp; $R$1 &amp; $R$1, "")
        )
    )
) &amp;
IF(AND(Q6="x", K6=1), $Q$2,
    IF(AND(Q6="x", K6=2), $Q$2 &amp; $Q$2,
        IF(AND(Q6="x", K6=3), $Q$2 &amp; $Q$2 &amp; $Q$2,
            IF(AND(Q6="x", K6=4), $Q$2 &amp; $Q$2 &amp; $Q$2 &amp; $Q$2, "")
        )
    )
) &amp;
IF(AND(R6="x", K6=1), $R$2,
    IF(AND(R6="x", K6=2), $R$2 &amp; $R$2,
        IF(AND(R6="x", K6=3), $R$2 &amp; $R$2 &amp; $R$2,
            IF(AND(R6="x", K6=4), $R$2 &amp; $R$2 &amp; $R$2 &amp; $R$2, "")
        )
    )
) &amp;
IF(AND(Q6="x", L6=1), $Q$3,
    IF(AND(Q6="x", L6=2), $Q$3 &amp; $Q$3,
        IF(AND(Q6="x", L6=3), $Q$3 &amp; $Q$3 &amp; $Q$3,
            IF(AND(Q6="x", L6=4), $Q$3 &amp; $Q$3 &amp; $Q$3 &amp; $Q$3, "")
        )
    )
) &amp;
IF(AND(R6="x", L6=1), $R$3,
    IF(AND(R6="x", L6=2), $R$3 &amp; $R$3,
        IF(AND(R6="x", L6=3), $R$3 &amp; $R$3 &amp; $R$3,
            IF(AND(R6="x", L6=4), $R$3 &amp; $R$3 &amp; $R$3 &amp; $R$3, "")
        )
    )
)&amp;
IF(SUM(J6:L6)=1,"000",IF(SUM(J6:L6)=2,"00",IF(SUM(J6:L6)=3,"0",IF(SUM(J6:L6)=4,"","")))) &amp;
"-0"</f>
        <v>PAA000A000A000-0</v>
      </c>
      <c r="B6" s="53" t="str">
        <f t="shared" ref="B6:B177" si="1">"Catchbox Plus System with "&amp;IF(F6="x","2 channel Hub DSP receiver ",IF(G6="x","2 channel Hub DSP recever with Networking and DANTE ",IF(H6="x","4 channel Hub DSP receiver ",IF(I6="x","4 channel Hub DSP receiver with Networking and DANTE ",""))))&amp;IF(J6&gt;0,J6&amp;" Cube ","")&amp;IF(K6&gt;0,K6&amp;" Clip ","")&amp;IF(L6&gt;0,L6&amp;" Stick ","")&amp;("incl chargers, ")&amp;IF(Q6="x",$Q$4,"Custom")</f>
        <v>Catchbox Plus System with 2 channel Hub DSP receiver 1 Cube incl chargers, Standard - Red</v>
      </c>
      <c r="C6" s="60">
        <f>IF(F6="x",'Input for bundle selection'!$B$82,IF(G6="x",'Input for bundle selection'!$B$82+'Input for bundle selection'!$B$84,IF(H6="x",'Input for bundle selection'!$B$83,IF(I6="x",'Input for bundle selection'!$B$83+'Input for bundle selection'!$B$84,0))))+J6*'Input for bundle selection'!$B$85+K6*'Input for bundle selection'!$B$86+L6*'Input for bundle selection'!$B$87+IF(R6="x",SUM(J6:L6)*'Input for bundle selection'!$B$88,0)</f>
        <v>1349</v>
      </c>
      <c r="D6" s="54"/>
      <c r="E6" s="54" t="s">
        <v>47</v>
      </c>
      <c r="F6" s="54" t="s">
        <v>47</v>
      </c>
      <c r="G6" s="54"/>
      <c r="H6" s="54"/>
      <c r="I6" s="54"/>
      <c r="J6" s="54">
        <v>1</v>
      </c>
      <c r="K6" s="54"/>
      <c r="L6" s="54"/>
      <c r="M6" s="54">
        <f t="shared" ref="M6:M177" si="2">IF(J6&gt;0,J6,"")</f>
        <v>1</v>
      </c>
      <c r="N6" s="54" t="str">
        <f t="shared" ref="N6:N177" si="3">IF(OR(SUM(K6:L6)=1,SUM(K6:L6)=3),1,"")</f>
        <v/>
      </c>
      <c r="O6" s="54" t="str">
        <f>IF(OR(SUM(K6:L6)=2,SUM(K6:L6)=4),SUM(K6:L6)/2,IF(SUM(K6:L6)=3,1,""))</f>
        <v/>
      </c>
      <c r="P6" s="54" t="str">
        <f t="shared" ref="P6:P177" si="4">IF(SUM(N6:O6)&gt;0,SUM(N6:O6),"")</f>
        <v/>
      </c>
      <c r="Q6" s="54" t="s">
        <v>47</v>
      </c>
      <c r="R6" s="5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9.8" x14ac:dyDescent="0.7">
      <c r="A7" s="53" t="str">
        <f t="shared" si="0"/>
        <v>PAB000B000F000-0</v>
      </c>
      <c r="B7" s="53" t="str">
        <f t="shared" si="1"/>
        <v>Catchbox Plus System with 2 channel Hub DSP receiver 1 Clip incl chargers, Standard - Red</v>
      </c>
      <c r="C7" s="60">
        <f>IF(F7="x",'Input for bundle selection'!$B$82,IF(G7="x",'Input for bundle selection'!$B$82+'Input for bundle selection'!$B$84,IF(H7="x",'Input for bundle selection'!$B$83,IF(I7="x",'Input for bundle selection'!$B$83+'Input for bundle selection'!$B$84,0))))+J7*'Input for bundle selection'!$B$85+K7*'Input for bundle selection'!$B$86+L7*'Input for bundle selection'!$B$87+IF(R7="x",SUM(J7:L7)*'Input for bundle selection'!$B$88,0)</f>
        <v>1249</v>
      </c>
      <c r="D7" s="54"/>
      <c r="E7" s="54" t="s">
        <v>47</v>
      </c>
      <c r="F7" s="54" t="s">
        <v>47</v>
      </c>
      <c r="G7" s="54"/>
      <c r="H7" s="54"/>
      <c r="I7" s="54"/>
      <c r="J7" s="54"/>
      <c r="K7" s="54">
        <v>1</v>
      </c>
      <c r="L7" s="54"/>
      <c r="M7" s="54" t="str">
        <f t="shared" si="2"/>
        <v/>
      </c>
      <c r="N7" s="54">
        <f t="shared" si="3"/>
        <v>1</v>
      </c>
      <c r="O7" s="54" t="str">
        <f t="shared" ref="O7:O70" si="5">IF(OR(SUM(K7:L7)=2,SUM(K7:L7)=4),SUM(K7:L7)/2,IF(SUM(K7:L7)=3,1,""))</f>
        <v/>
      </c>
      <c r="P7" s="54">
        <f t="shared" si="4"/>
        <v>1</v>
      </c>
      <c r="Q7" s="54" t="s">
        <v>47</v>
      </c>
      <c r="R7" s="5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9.8" x14ac:dyDescent="0.7">
      <c r="A8" s="53" t="str">
        <f t="shared" si="0"/>
        <v>PAC000B000K000-0</v>
      </c>
      <c r="B8" s="53" t="str">
        <f t="shared" si="1"/>
        <v>Catchbox Plus System with 2 channel Hub DSP receiver 1 Stick incl chargers, Standard - Red</v>
      </c>
      <c r="C8" s="60">
        <f>IF(F8="x",'Input for bundle selection'!$B$82,IF(G8="x",'Input for bundle selection'!$B$82+'Input for bundle selection'!$B$84,IF(H8="x",'Input for bundle selection'!$B$83,IF(I8="x",'Input for bundle selection'!$B$83+'Input for bundle selection'!$B$84,0))))+J8*'Input for bundle selection'!$B$85+K8*'Input for bundle selection'!$B$86+L8*'Input for bundle selection'!$B$87+IF(R8="x",SUM(J8:L8)*'Input for bundle selection'!$B$88,0)</f>
        <v>1299</v>
      </c>
      <c r="D8" s="54"/>
      <c r="E8" s="54" t="s">
        <v>47</v>
      </c>
      <c r="F8" s="54" t="s">
        <v>47</v>
      </c>
      <c r="G8" s="54"/>
      <c r="H8" s="54"/>
      <c r="I8" s="54"/>
      <c r="J8" s="54"/>
      <c r="K8" s="54"/>
      <c r="L8" s="54">
        <v>1</v>
      </c>
      <c r="M8" s="54" t="str">
        <f t="shared" si="2"/>
        <v/>
      </c>
      <c r="N8" s="54">
        <f t="shared" si="3"/>
        <v>1</v>
      </c>
      <c r="O8" s="54" t="str">
        <f t="shared" si="5"/>
        <v/>
      </c>
      <c r="P8" s="54">
        <f t="shared" si="4"/>
        <v>1</v>
      </c>
      <c r="Q8" s="54" t="s">
        <v>47</v>
      </c>
      <c r="R8" s="5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9.8" x14ac:dyDescent="0.7">
      <c r="A9" s="53" t="str">
        <f t="shared" si="0"/>
        <v>PAA000A000E000-0</v>
      </c>
      <c r="B9" s="53" t="str">
        <f t="shared" si="1"/>
        <v>Catchbox Plus System with 2 channel Hub DSP receiver 1 Cube incl chargers, Custom</v>
      </c>
      <c r="C9" s="60">
        <f>IF(F9="x",'Input for bundle selection'!$B$82,IF(G9="x",'Input for bundle selection'!$B$82+'Input for bundle selection'!$B$84,IF(H9="x",'Input for bundle selection'!$B$83,IF(I9="x",'Input for bundle selection'!$B$83+'Input for bundle selection'!$B$84,0))))+J9*'Input for bundle selection'!$B$85+K9*'Input for bundle selection'!$B$86+L9*'Input for bundle selection'!$B$87+IF(R9="x",SUM(J9:L9)*'Input for bundle selection'!$B$88,0)</f>
        <v>1399</v>
      </c>
      <c r="D9" s="54"/>
      <c r="E9" s="54" t="s">
        <v>47</v>
      </c>
      <c r="F9" s="54" t="s">
        <v>47</v>
      </c>
      <c r="G9" s="54"/>
      <c r="H9" s="54"/>
      <c r="I9" s="54"/>
      <c r="J9" s="54">
        <v>1</v>
      </c>
      <c r="K9" s="54"/>
      <c r="L9" s="54"/>
      <c r="M9" s="54">
        <f t="shared" si="2"/>
        <v>1</v>
      </c>
      <c r="N9" s="54" t="str">
        <f t="shared" si="3"/>
        <v/>
      </c>
      <c r="O9" s="54" t="str">
        <f t="shared" si="5"/>
        <v/>
      </c>
      <c r="P9" s="54" t="str">
        <f t="shared" si="4"/>
        <v/>
      </c>
      <c r="Q9" s="54"/>
      <c r="R9" s="54" t="s">
        <v>47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9.8" x14ac:dyDescent="0.7">
      <c r="A10" s="53" t="str">
        <f t="shared" si="0"/>
        <v>PAB000B000J000-0</v>
      </c>
      <c r="B10" s="53" t="str">
        <f t="shared" si="1"/>
        <v>Catchbox Plus System with 2 channel Hub DSP receiver 1 Clip incl chargers, Custom</v>
      </c>
      <c r="C10" s="60">
        <f>IF(F10="x",'Input for bundle selection'!$B$82,IF(G10="x",'Input for bundle selection'!$B$82+'Input for bundle selection'!$B$84,IF(H10="x",'Input for bundle selection'!$B$83,IF(I10="x",'Input for bundle selection'!$B$83+'Input for bundle selection'!$B$84,0))))+J10*'Input for bundle selection'!$B$85+K10*'Input for bundle selection'!$B$86+L10*'Input for bundle selection'!$B$87+IF(R10="x",SUM(J10:L10)*'Input for bundle selection'!$B$88,0)</f>
        <v>1299</v>
      </c>
      <c r="D10" s="54"/>
      <c r="E10" s="54" t="s">
        <v>47</v>
      </c>
      <c r="F10" s="54" t="s">
        <v>47</v>
      </c>
      <c r="G10" s="54"/>
      <c r="H10" s="54"/>
      <c r="I10" s="54"/>
      <c r="J10" s="54"/>
      <c r="K10" s="54">
        <v>1</v>
      </c>
      <c r="L10" s="54"/>
      <c r="M10" s="54" t="str">
        <f t="shared" si="2"/>
        <v/>
      </c>
      <c r="N10" s="54">
        <f t="shared" si="3"/>
        <v>1</v>
      </c>
      <c r="O10" s="54" t="str">
        <f t="shared" si="5"/>
        <v/>
      </c>
      <c r="P10" s="54">
        <f t="shared" si="4"/>
        <v>1</v>
      </c>
      <c r="Q10" s="54"/>
      <c r="R10" s="54" t="s">
        <v>47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9.8" x14ac:dyDescent="0.7">
      <c r="A11" s="53" t="str">
        <f t="shared" si="0"/>
        <v>PAC000B000O000-0</v>
      </c>
      <c r="B11" s="53" t="str">
        <f t="shared" si="1"/>
        <v>Catchbox Plus System with 2 channel Hub DSP receiver 1 Stick incl chargers, Custom</v>
      </c>
      <c r="C11" s="60">
        <f>IF(F11="x",'Input for bundle selection'!$B$82,IF(G11="x",'Input for bundle selection'!$B$82+'Input for bundle selection'!$B$84,IF(H11="x",'Input for bundle selection'!$B$83,IF(I11="x",'Input for bundle selection'!$B$83+'Input for bundle selection'!$B$84,0))))+J11*'Input for bundle selection'!$B$85+K11*'Input for bundle selection'!$B$86+L11*'Input for bundle selection'!$B$87+IF(R11="x",SUM(J11:L11)*'Input for bundle selection'!$B$88,0)</f>
        <v>1349</v>
      </c>
      <c r="D11" s="54"/>
      <c r="E11" s="54" t="s">
        <v>47</v>
      </c>
      <c r="F11" s="54" t="s">
        <v>47</v>
      </c>
      <c r="G11" s="54"/>
      <c r="H11" s="54"/>
      <c r="I11" s="54"/>
      <c r="J11" s="54"/>
      <c r="K11" s="54"/>
      <c r="L11" s="54">
        <v>1</v>
      </c>
      <c r="M11" s="54" t="str">
        <f t="shared" si="2"/>
        <v/>
      </c>
      <c r="N11" s="54">
        <f t="shared" si="3"/>
        <v>1</v>
      </c>
      <c r="O11" s="54" t="str">
        <f t="shared" si="5"/>
        <v/>
      </c>
      <c r="P11" s="54">
        <f t="shared" si="4"/>
        <v>1</v>
      </c>
      <c r="Q11" s="54"/>
      <c r="R11" s="54" t="s">
        <v>47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9.8" x14ac:dyDescent="0.7">
      <c r="A12" s="53" t="str">
        <f t="shared" si="0"/>
        <v>PAAB00AB00AF00-0</v>
      </c>
      <c r="B12" s="53" t="str">
        <f t="shared" si="1"/>
        <v>Catchbox Plus System with 2 channel Hub DSP receiver 1 Cube 1 Clip incl chargers, Standard - Red</v>
      </c>
      <c r="C12" s="60">
        <f>IF(F12="x",'Input for bundle selection'!$B$82,IF(G12="x",'Input for bundle selection'!$B$82+'Input for bundle selection'!$B$84,IF(H12="x",'Input for bundle selection'!$B$83,IF(I12="x",'Input for bundle selection'!$B$83+'Input for bundle selection'!$B$84,0))))+J12*'Input for bundle selection'!$B$85+K12*'Input for bundle selection'!$B$86+L12*'Input for bundle selection'!$B$87+IF(R12="x",SUM(J12:L12)*'Input for bundle selection'!$B$88,0)</f>
        <v>1799</v>
      </c>
      <c r="D12" s="54"/>
      <c r="E12" s="54" t="s">
        <v>47</v>
      </c>
      <c r="F12" s="54" t="s">
        <v>47</v>
      </c>
      <c r="G12" s="54"/>
      <c r="H12" s="54"/>
      <c r="I12" s="54"/>
      <c r="J12" s="54">
        <v>1</v>
      </c>
      <c r="K12" s="54">
        <v>1</v>
      </c>
      <c r="L12" s="54"/>
      <c r="M12" s="54">
        <f t="shared" si="2"/>
        <v>1</v>
      </c>
      <c r="N12" s="54">
        <f t="shared" si="3"/>
        <v>1</v>
      </c>
      <c r="O12" s="54" t="str">
        <f t="shared" si="5"/>
        <v/>
      </c>
      <c r="P12" s="54">
        <f t="shared" si="4"/>
        <v>1</v>
      </c>
      <c r="Q12" s="54" t="s">
        <v>47</v>
      </c>
      <c r="R12" s="5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9.8" x14ac:dyDescent="0.7">
      <c r="A13" s="53" t="str">
        <f t="shared" si="0"/>
        <v>PAAC00AB00AK00-0</v>
      </c>
      <c r="B13" s="53" t="str">
        <f t="shared" si="1"/>
        <v>Catchbox Plus System with 2 channel Hub DSP receiver 1 Cube 1 Stick incl chargers, Standard - Red</v>
      </c>
      <c r="C13" s="60">
        <f>IF(F13="x",'Input for bundle selection'!$B$82,IF(G13="x",'Input for bundle selection'!$B$82+'Input for bundle selection'!$B$84,IF(H13="x",'Input for bundle selection'!$B$83,IF(I13="x",'Input for bundle selection'!$B$83+'Input for bundle selection'!$B$84,0))))+J13*'Input for bundle selection'!$B$85+K13*'Input for bundle selection'!$B$86+L13*'Input for bundle selection'!$B$87+IF(R13="x",SUM(J13:L13)*'Input for bundle selection'!$B$88,0)</f>
        <v>1849</v>
      </c>
      <c r="D13" s="54"/>
      <c r="E13" s="54" t="s">
        <v>47</v>
      </c>
      <c r="F13" s="54" t="s">
        <v>47</v>
      </c>
      <c r="G13" s="54"/>
      <c r="H13" s="54"/>
      <c r="I13" s="54"/>
      <c r="J13" s="54">
        <v>1</v>
      </c>
      <c r="K13" s="54"/>
      <c r="L13" s="54">
        <v>1</v>
      </c>
      <c r="M13" s="54">
        <f t="shared" si="2"/>
        <v>1</v>
      </c>
      <c r="N13" s="54">
        <f t="shared" si="3"/>
        <v>1</v>
      </c>
      <c r="O13" s="54" t="str">
        <f t="shared" si="5"/>
        <v/>
      </c>
      <c r="P13" s="54">
        <f t="shared" si="4"/>
        <v>1</v>
      </c>
      <c r="Q13" s="54" t="s">
        <v>47</v>
      </c>
      <c r="R13" s="5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9.8" x14ac:dyDescent="0.7">
      <c r="A14" s="53" t="str">
        <f t="shared" si="0"/>
        <v>PABC00C000FK00-0</v>
      </c>
      <c r="B14" s="53" t="str">
        <f t="shared" si="1"/>
        <v>Catchbox Plus System with 2 channel Hub DSP receiver 1 Clip 1 Stick incl chargers, Standard - Red</v>
      </c>
      <c r="C14" s="60">
        <f>IF(F14="x",'Input for bundle selection'!$B$82,IF(G14="x",'Input for bundle selection'!$B$82+'Input for bundle selection'!$B$84,IF(H14="x",'Input for bundle selection'!$B$83,IF(I14="x",'Input for bundle selection'!$B$83+'Input for bundle selection'!$B$84,0))))+J14*'Input for bundle selection'!$B$85+K14*'Input for bundle selection'!$B$86+L14*'Input for bundle selection'!$B$87+IF(R14="x",SUM(J14:L14)*'Input for bundle selection'!$B$88,0)</f>
        <v>1749</v>
      </c>
      <c r="D14" s="54"/>
      <c r="E14" s="54" t="s">
        <v>47</v>
      </c>
      <c r="F14" s="54" t="s">
        <v>47</v>
      </c>
      <c r="G14" s="54"/>
      <c r="H14" s="54"/>
      <c r="I14" s="54"/>
      <c r="J14" s="54"/>
      <c r="K14" s="54">
        <v>1</v>
      </c>
      <c r="L14" s="54">
        <v>1</v>
      </c>
      <c r="M14" s="54" t="str">
        <f t="shared" si="2"/>
        <v/>
      </c>
      <c r="N14" s="54" t="str">
        <f t="shared" si="3"/>
        <v/>
      </c>
      <c r="O14" s="54">
        <f t="shared" si="5"/>
        <v>1</v>
      </c>
      <c r="P14" s="54">
        <f t="shared" si="4"/>
        <v>1</v>
      </c>
      <c r="Q14" s="54" t="s">
        <v>47</v>
      </c>
      <c r="R14" s="5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9.8" x14ac:dyDescent="0.7">
      <c r="A15" s="53" t="str">
        <f t="shared" si="0"/>
        <v>PAAA00AA00AA00-0</v>
      </c>
      <c r="B15" s="53" t="str">
        <f t="shared" si="1"/>
        <v>Catchbox Plus System with 2 channel Hub DSP receiver 2 Cube incl chargers, Standard - Red</v>
      </c>
      <c r="C15" s="60">
        <f>IF(F15="x",'Input for bundle selection'!$B$82,IF(G15="x",'Input for bundle selection'!$B$82+'Input for bundle selection'!$B$84,IF(H15="x",'Input for bundle selection'!$B$83,IF(I15="x",'Input for bundle selection'!$B$83+'Input for bundle selection'!$B$84,0))))+J15*'Input for bundle selection'!$B$85+K15*'Input for bundle selection'!$B$86+L15*'Input for bundle selection'!$B$87+IF(R15="x",SUM(J15:L15)*'Input for bundle selection'!$B$88,0)</f>
        <v>1899</v>
      </c>
      <c r="D15" s="54"/>
      <c r="E15" s="54" t="s">
        <v>47</v>
      </c>
      <c r="F15" s="54" t="s">
        <v>47</v>
      </c>
      <c r="G15" s="54"/>
      <c r="H15" s="54"/>
      <c r="I15" s="54"/>
      <c r="J15" s="54">
        <v>2</v>
      </c>
      <c r="K15" s="54"/>
      <c r="L15" s="54"/>
      <c r="M15" s="54">
        <f t="shared" si="2"/>
        <v>2</v>
      </c>
      <c r="N15" s="54" t="str">
        <f t="shared" si="3"/>
        <v/>
      </c>
      <c r="O15" s="54" t="str">
        <f t="shared" si="5"/>
        <v/>
      </c>
      <c r="P15" s="54" t="str">
        <f t="shared" si="4"/>
        <v/>
      </c>
      <c r="Q15" s="54" t="s">
        <v>47</v>
      </c>
      <c r="R15" s="5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9.8" x14ac:dyDescent="0.7">
      <c r="A16" s="53" t="str">
        <f t="shared" si="0"/>
        <v>PABB00C000FF00-0</v>
      </c>
      <c r="B16" s="53" t="str">
        <f t="shared" si="1"/>
        <v>Catchbox Plus System with 2 channel Hub DSP receiver 2 Clip incl chargers, Standard - Red</v>
      </c>
      <c r="C16" s="60">
        <f>IF(F16="x",'Input for bundle selection'!$B$82,IF(G16="x",'Input for bundle selection'!$B$82+'Input for bundle selection'!$B$84,IF(H16="x",'Input for bundle selection'!$B$83,IF(I16="x",'Input for bundle selection'!$B$83+'Input for bundle selection'!$B$84,0))))+J16*'Input for bundle selection'!$B$85+K16*'Input for bundle selection'!$B$86+L16*'Input for bundle selection'!$B$87+IF(R16="x",SUM(J16:L16)*'Input for bundle selection'!$B$88,0)</f>
        <v>1699</v>
      </c>
      <c r="D16" s="54"/>
      <c r="E16" s="54" t="s">
        <v>47</v>
      </c>
      <c r="F16" s="54" t="s">
        <v>47</v>
      </c>
      <c r="G16" s="54"/>
      <c r="H16" s="54"/>
      <c r="I16" s="54"/>
      <c r="J16" s="54"/>
      <c r="K16" s="54">
        <v>2</v>
      </c>
      <c r="L16" s="54"/>
      <c r="M16" s="54" t="str">
        <f t="shared" si="2"/>
        <v/>
      </c>
      <c r="N16" s="54" t="str">
        <f t="shared" si="3"/>
        <v/>
      </c>
      <c r="O16" s="54">
        <f t="shared" si="5"/>
        <v>1</v>
      </c>
      <c r="P16" s="54">
        <f t="shared" si="4"/>
        <v>1</v>
      </c>
      <c r="Q16" s="54" t="s">
        <v>47</v>
      </c>
      <c r="R16" s="5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9.8" x14ac:dyDescent="0.7">
      <c r="A17" s="53" t="str">
        <f t="shared" si="0"/>
        <v>PACC00C000KK00-0</v>
      </c>
      <c r="B17" s="53" t="str">
        <f t="shared" si="1"/>
        <v>Catchbox Plus System with 2 channel Hub DSP receiver 2 Stick incl chargers, Standard - Red</v>
      </c>
      <c r="C17" s="60">
        <f>IF(F17="x",'Input for bundle selection'!$B$82,IF(G17="x",'Input for bundle selection'!$B$82+'Input for bundle selection'!$B$84,IF(H17="x",'Input for bundle selection'!$B$83,IF(I17="x",'Input for bundle selection'!$B$83+'Input for bundle selection'!$B$84,0))))+J17*'Input for bundle selection'!$B$85+K17*'Input for bundle selection'!$B$86+L17*'Input for bundle selection'!$B$87+IF(R17="x",SUM(J17:L17)*'Input for bundle selection'!$B$88,0)</f>
        <v>1799</v>
      </c>
      <c r="D17" s="54"/>
      <c r="E17" s="54" t="s">
        <v>47</v>
      </c>
      <c r="F17" s="54" t="s">
        <v>47</v>
      </c>
      <c r="G17" s="54"/>
      <c r="H17" s="54"/>
      <c r="I17" s="54"/>
      <c r="J17" s="54"/>
      <c r="K17" s="54"/>
      <c r="L17" s="54">
        <v>2</v>
      </c>
      <c r="M17" s="54" t="str">
        <f t="shared" si="2"/>
        <v/>
      </c>
      <c r="N17" s="54" t="str">
        <f t="shared" si="3"/>
        <v/>
      </c>
      <c r="O17" s="54">
        <f t="shared" si="5"/>
        <v>1</v>
      </c>
      <c r="P17" s="54">
        <f t="shared" si="4"/>
        <v>1</v>
      </c>
      <c r="Q17" s="54" t="s">
        <v>47</v>
      </c>
      <c r="R17" s="5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9.8" x14ac:dyDescent="0.7">
      <c r="A18" s="53" t="str">
        <f t="shared" si="0"/>
        <v>PAAB00AB00EJ00-0</v>
      </c>
      <c r="B18" s="53" t="str">
        <f t="shared" si="1"/>
        <v>Catchbox Plus System with 2 channel Hub DSP receiver 1 Cube 1 Clip incl chargers, Custom</v>
      </c>
      <c r="C18" s="60">
        <f>IF(F18="x",'Input for bundle selection'!$B$82,IF(G18="x",'Input for bundle selection'!$B$82+'Input for bundle selection'!$B$84,IF(H18="x",'Input for bundle selection'!$B$83,IF(I18="x",'Input for bundle selection'!$B$83+'Input for bundle selection'!$B$84,0))))+J18*'Input for bundle selection'!$B$85+K18*'Input for bundle selection'!$B$86+L18*'Input for bundle selection'!$B$87+IF(R18="x",SUM(J18:L18)*'Input for bundle selection'!$B$88,0)</f>
        <v>1899</v>
      </c>
      <c r="D18" s="54"/>
      <c r="E18" s="54" t="s">
        <v>47</v>
      </c>
      <c r="F18" s="54" t="s">
        <v>47</v>
      </c>
      <c r="G18" s="54"/>
      <c r="H18" s="54"/>
      <c r="I18" s="54"/>
      <c r="J18" s="54">
        <v>1</v>
      </c>
      <c r="K18" s="54">
        <v>1</v>
      </c>
      <c r="L18" s="54"/>
      <c r="M18" s="54">
        <f t="shared" si="2"/>
        <v>1</v>
      </c>
      <c r="N18" s="54">
        <f t="shared" si="3"/>
        <v>1</v>
      </c>
      <c r="O18" s="54" t="str">
        <f t="shared" si="5"/>
        <v/>
      </c>
      <c r="P18" s="54">
        <f t="shared" si="4"/>
        <v>1</v>
      </c>
      <c r="Q18" s="54"/>
      <c r="R18" s="54" t="s">
        <v>47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9.8" x14ac:dyDescent="0.7">
      <c r="A19" s="53" t="str">
        <f t="shared" si="0"/>
        <v>PAAC00AB00EO00-0</v>
      </c>
      <c r="B19" s="53" t="str">
        <f t="shared" si="1"/>
        <v>Catchbox Plus System with 2 channel Hub DSP receiver 1 Cube 1 Stick incl chargers, Custom</v>
      </c>
      <c r="C19" s="60">
        <f>IF(F19="x",'Input for bundle selection'!$B$82,IF(G19="x",'Input for bundle selection'!$B$82+'Input for bundle selection'!$B$84,IF(H19="x",'Input for bundle selection'!$B$83,IF(I19="x",'Input for bundle selection'!$B$83+'Input for bundle selection'!$B$84,0))))+J19*'Input for bundle selection'!$B$85+K19*'Input for bundle selection'!$B$86+L19*'Input for bundle selection'!$B$87+IF(R19="x",SUM(J19:L19)*'Input for bundle selection'!$B$88,0)</f>
        <v>1949</v>
      </c>
      <c r="D19" s="54"/>
      <c r="E19" s="54" t="s">
        <v>47</v>
      </c>
      <c r="F19" s="54" t="s">
        <v>47</v>
      </c>
      <c r="G19" s="54"/>
      <c r="H19" s="54"/>
      <c r="I19" s="54"/>
      <c r="J19" s="54">
        <v>1</v>
      </c>
      <c r="K19" s="54"/>
      <c r="L19" s="54">
        <v>1</v>
      </c>
      <c r="M19" s="54">
        <f t="shared" si="2"/>
        <v>1</v>
      </c>
      <c r="N19" s="54">
        <f t="shared" si="3"/>
        <v>1</v>
      </c>
      <c r="O19" s="54" t="str">
        <f t="shared" si="5"/>
        <v/>
      </c>
      <c r="P19" s="54">
        <f t="shared" si="4"/>
        <v>1</v>
      </c>
      <c r="Q19" s="54"/>
      <c r="R19" s="54" t="s">
        <v>47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9.8" x14ac:dyDescent="0.7">
      <c r="A20" s="53" t="str">
        <f t="shared" si="0"/>
        <v>PABC00C000JO00-0</v>
      </c>
      <c r="B20" s="53" t="str">
        <f t="shared" si="1"/>
        <v>Catchbox Plus System with 2 channel Hub DSP receiver 1 Clip 1 Stick incl chargers, Custom</v>
      </c>
      <c r="C20" s="60">
        <f>IF(F20="x",'Input for bundle selection'!$B$82,IF(G20="x",'Input for bundle selection'!$B$82+'Input for bundle selection'!$B$84,IF(H20="x",'Input for bundle selection'!$B$83,IF(I20="x",'Input for bundle selection'!$B$83+'Input for bundle selection'!$B$84,0))))+J20*'Input for bundle selection'!$B$85+K20*'Input for bundle selection'!$B$86+L20*'Input for bundle selection'!$B$87+IF(R20="x",SUM(J20:L20)*'Input for bundle selection'!$B$88,0)</f>
        <v>1849</v>
      </c>
      <c r="D20" s="54"/>
      <c r="E20" s="54" t="s">
        <v>47</v>
      </c>
      <c r="F20" s="54" t="s">
        <v>47</v>
      </c>
      <c r="G20" s="54"/>
      <c r="H20" s="54"/>
      <c r="I20" s="54"/>
      <c r="J20" s="54"/>
      <c r="K20" s="54">
        <v>1</v>
      </c>
      <c r="L20" s="54">
        <v>1</v>
      </c>
      <c r="M20" s="54" t="str">
        <f t="shared" si="2"/>
        <v/>
      </c>
      <c r="N20" s="54" t="str">
        <f t="shared" si="3"/>
        <v/>
      </c>
      <c r="O20" s="54">
        <f t="shared" si="5"/>
        <v>1</v>
      </c>
      <c r="P20" s="54">
        <f t="shared" si="4"/>
        <v>1</v>
      </c>
      <c r="Q20" s="54"/>
      <c r="R20" s="54" t="s">
        <v>47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9.8" x14ac:dyDescent="0.7">
      <c r="A21" s="53" t="str">
        <f t="shared" si="0"/>
        <v>PAAA00AA00EE00-0</v>
      </c>
      <c r="B21" s="53" t="str">
        <f t="shared" si="1"/>
        <v>Catchbox Plus System with 2 channel Hub DSP receiver 2 Cube incl chargers, Custom</v>
      </c>
      <c r="C21" s="60">
        <f>IF(F21="x",'Input for bundle selection'!$B$82,IF(G21="x",'Input for bundle selection'!$B$82+'Input for bundle selection'!$B$84,IF(H21="x",'Input for bundle selection'!$B$83,IF(I21="x",'Input for bundle selection'!$B$83+'Input for bundle selection'!$B$84,0))))+J21*'Input for bundle selection'!$B$85+K21*'Input for bundle selection'!$B$86+L21*'Input for bundle selection'!$B$87+IF(R21="x",SUM(J21:L21)*'Input for bundle selection'!$B$88,0)</f>
        <v>1999</v>
      </c>
      <c r="D21" s="54"/>
      <c r="E21" s="54" t="s">
        <v>47</v>
      </c>
      <c r="F21" s="54" t="s">
        <v>47</v>
      </c>
      <c r="G21" s="54"/>
      <c r="H21" s="54"/>
      <c r="I21" s="54"/>
      <c r="J21" s="54">
        <v>2</v>
      </c>
      <c r="K21" s="54"/>
      <c r="L21" s="54"/>
      <c r="M21" s="54">
        <f t="shared" si="2"/>
        <v>2</v>
      </c>
      <c r="N21" s="54" t="str">
        <f t="shared" si="3"/>
        <v/>
      </c>
      <c r="O21" s="54" t="str">
        <f t="shared" si="5"/>
        <v/>
      </c>
      <c r="P21" s="54" t="str">
        <f t="shared" si="4"/>
        <v/>
      </c>
      <c r="Q21" s="54"/>
      <c r="R21" s="54" t="s">
        <v>47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9.8" x14ac:dyDescent="0.7">
      <c r="A22" s="53" t="str">
        <f t="shared" si="0"/>
        <v>PABB00C000JJ00-0</v>
      </c>
      <c r="B22" s="53" t="str">
        <f t="shared" si="1"/>
        <v>Catchbox Plus System with 2 channel Hub DSP receiver 2 Clip incl chargers, Custom</v>
      </c>
      <c r="C22" s="60">
        <f>IF(F22="x",'Input for bundle selection'!$B$82,IF(G22="x",'Input for bundle selection'!$B$82+'Input for bundle selection'!$B$84,IF(H22="x",'Input for bundle selection'!$B$83,IF(I22="x",'Input for bundle selection'!$B$83+'Input for bundle selection'!$B$84,0))))+J22*'Input for bundle selection'!$B$85+K22*'Input for bundle selection'!$B$86+L22*'Input for bundle selection'!$B$87+IF(R22="x",SUM(J22:L22)*'Input for bundle selection'!$B$88,0)</f>
        <v>1799</v>
      </c>
      <c r="D22" s="54"/>
      <c r="E22" s="54" t="s">
        <v>47</v>
      </c>
      <c r="F22" s="54" t="s">
        <v>47</v>
      </c>
      <c r="G22" s="54"/>
      <c r="H22" s="54"/>
      <c r="I22" s="54"/>
      <c r="J22" s="54"/>
      <c r="K22" s="54">
        <v>2</v>
      </c>
      <c r="L22" s="54"/>
      <c r="M22" s="54" t="str">
        <f t="shared" si="2"/>
        <v/>
      </c>
      <c r="N22" s="54" t="str">
        <f t="shared" si="3"/>
        <v/>
      </c>
      <c r="O22" s="54">
        <f t="shared" si="5"/>
        <v>1</v>
      </c>
      <c r="P22" s="54">
        <f t="shared" si="4"/>
        <v>1</v>
      </c>
      <c r="Q22" s="54"/>
      <c r="R22" s="54" t="s">
        <v>47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9.8" x14ac:dyDescent="0.7">
      <c r="A23" s="53" t="str">
        <f t="shared" si="0"/>
        <v>PACC00C000OO00-0</v>
      </c>
      <c r="B23" s="53" t="str">
        <f t="shared" si="1"/>
        <v>Catchbox Plus System with 2 channel Hub DSP receiver 2 Stick incl chargers, Custom</v>
      </c>
      <c r="C23" s="60">
        <f>IF(F23="x",'Input for bundle selection'!$B$82,IF(G23="x",'Input for bundle selection'!$B$82+'Input for bundle selection'!$B$84,IF(H23="x",'Input for bundle selection'!$B$83,IF(I23="x",'Input for bundle selection'!$B$83+'Input for bundle selection'!$B$84,0))))+J23*'Input for bundle selection'!$B$85+K23*'Input for bundle selection'!$B$86+L23*'Input for bundle selection'!$B$87+IF(R23="x",SUM(J23:L23)*'Input for bundle selection'!$B$88,0)</f>
        <v>1899</v>
      </c>
      <c r="D23" s="54"/>
      <c r="E23" s="54" t="s">
        <v>47</v>
      </c>
      <c r="F23" s="54" t="s">
        <v>47</v>
      </c>
      <c r="G23" s="54"/>
      <c r="H23" s="54"/>
      <c r="I23" s="54"/>
      <c r="J23" s="54"/>
      <c r="K23" s="54"/>
      <c r="L23" s="54">
        <v>2</v>
      </c>
      <c r="M23" s="54" t="str">
        <f t="shared" si="2"/>
        <v/>
      </c>
      <c r="N23" s="54" t="str">
        <f t="shared" si="3"/>
        <v/>
      </c>
      <c r="O23" s="54">
        <f t="shared" si="5"/>
        <v>1</v>
      </c>
      <c r="P23" s="54">
        <f t="shared" si="4"/>
        <v>1</v>
      </c>
      <c r="Q23" s="54"/>
      <c r="R23" s="54" t="s">
        <v>47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9.8" x14ac:dyDescent="0.7">
      <c r="A24" s="53" t="str">
        <f t="shared" si="0"/>
        <v>PBA000A000A000-0</v>
      </c>
      <c r="B24" s="53" t="str">
        <f t="shared" si="1"/>
        <v>Catchbox Plus System with 2 channel Hub DSP recever with Networking and DANTE 1 Cube incl chargers, Standard - Red</v>
      </c>
      <c r="C24" s="60">
        <f>IF(F24="x",'Input for bundle selection'!$B$82,IF(G24="x",'Input for bundle selection'!$B$82+'Input for bundle selection'!$B$84,IF(H24="x",'Input for bundle selection'!$B$83,IF(I24="x",'Input for bundle selection'!$B$83+'Input for bundle selection'!$B$84,0))))+J24*'Input for bundle selection'!$B$85+K24*'Input for bundle selection'!$B$86+L24*'Input for bundle selection'!$B$87+IF(R24="x",SUM(J24:L24)*'Input for bundle selection'!$B$88,0)</f>
        <v>1649</v>
      </c>
      <c r="D24" s="54"/>
      <c r="E24" s="54" t="s">
        <v>47</v>
      </c>
      <c r="F24" s="54"/>
      <c r="G24" s="54" t="s">
        <v>47</v>
      </c>
      <c r="H24" s="54"/>
      <c r="I24" s="54"/>
      <c r="J24" s="54">
        <v>1</v>
      </c>
      <c r="K24" s="54"/>
      <c r="L24" s="54"/>
      <c r="M24" s="54">
        <f t="shared" si="2"/>
        <v>1</v>
      </c>
      <c r="N24" s="54" t="str">
        <f t="shared" si="3"/>
        <v/>
      </c>
      <c r="O24" s="54" t="str">
        <f t="shared" si="5"/>
        <v/>
      </c>
      <c r="P24" s="54" t="str">
        <f t="shared" si="4"/>
        <v/>
      </c>
      <c r="Q24" s="54" t="s">
        <v>47</v>
      </c>
      <c r="R24" s="5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9.8" x14ac:dyDescent="0.7">
      <c r="A25" s="53" t="str">
        <f t="shared" si="0"/>
        <v>PBB000B000F000-0</v>
      </c>
      <c r="B25" s="53" t="str">
        <f t="shared" si="1"/>
        <v>Catchbox Plus System with 2 channel Hub DSP recever with Networking and DANTE 1 Clip incl chargers, Standard - Red</v>
      </c>
      <c r="C25" s="60">
        <f>IF(F25="x",'Input for bundle selection'!$B$82,IF(G25="x",'Input for bundle selection'!$B$82+'Input for bundle selection'!$B$84,IF(H25="x",'Input for bundle selection'!$B$83,IF(I25="x",'Input for bundle selection'!$B$83+'Input for bundle selection'!$B$84,0))))+J25*'Input for bundle selection'!$B$85+K25*'Input for bundle selection'!$B$86+L25*'Input for bundle selection'!$B$87+IF(R25="x",SUM(J25:L25)*'Input for bundle selection'!$B$88,0)</f>
        <v>1549</v>
      </c>
      <c r="D25" s="54"/>
      <c r="E25" s="54" t="s">
        <v>47</v>
      </c>
      <c r="F25" s="54"/>
      <c r="G25" s="54" t="s">
        <v>47</v>
      </c>
      <c r="H25" s="54"/>
      <c r="I25" s="54"/>
      <c r="J25" s="54"/>
      <c r="K25" s="54">
        <v>1</v>
      </c>
      <c r="L25" s="54"/>
      <c r="M25" s="54" t="str">
        <f t="shared" si="2"/>
        <v/>
      </c>
      <c r="N25" s="54">
        <f t="shared" si="3"/>
        <v>1</v>
      </c>
      <c r="O25" s="54" t="str">
        <f t="shared" si="5"/>
        <v/>
      </c>
      <c r="P25" s="54">
        <f t="shared" si="4"/>
        <v>1</v>
      </c>
      <c r="Q25" s="54" t="s">
        <v>47</v>
      </c>
      <c r="R25" s="5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9.8" x14ac:dyDescent="0.7">
      <c r="A26" s="53" t="str">
        <f t="shared" si="0"/>
        <v>PBC000B000K000-0</v>
      </c>
      <c r="B26" s="53" t="str">
        <f t="shared" si="1"/>
        <v>Catchbox Plus System with 2 channel Hub DSP recever with Networking and DANTE 1 Stick incl chargers, Standard - Red</v>
      </c>
      <c r="C26" s="60">
        <f>IF(F26="x",'Input for bundle selection'!$B$82,IF(G26="x",'Input for bundle selection'!$B$82+'Input for bundle selection'!$B$84,IF(H26="x",'Input for bundle selection'!$B$83,IF(I26="x",'Input for bundle selection'!$B$83+'Input for bundle selection'!$B$84,0))))+J26*'Input for bundle selection'!$B$85+K26*'Input for bundle selection'!$B$86+L26*'Input for bundle selection'!$B$87+IF(R26="x",SUM(J26:L26)*'Input for bundle selection'!$B$88,0)</f>
        <v>1599</v>
      </c>
      <c r="D26" s="54"/>
      <c r="E26" s="54" t="s">
        <v>47</v>
      </c>
      <c r="F26" s="54"/>
      <c r="G26" s="54" t="s">
        <v>47</v>
      </c>
      <c r="H26" s="54"/>
      <c r="I26" s="54"/>
      <c r="J26" s="54"/>
      <c r="K26" s="54"/>
      <c r="L26" s="54">
        <v>1</v>
      </c>
      <c r="M26" s="54" t="str">
        <f t="shared" si="2"/>
        <v/>
      </c>
      <c r="N26" s="54">
        <f t="shared" si="3"/>
        <v>1</v>
      </c>
      <c r="O26" s="54" t="str">
        <f t="shared" si="5"/>
        <v/>
      </c>
      <c r="P26" s="54">
        <f t="shared" si="4"/>
        <v>1</v>
      </c>
      <c r="Q26" s="54" t="s">
        <v>47</v>
      </c>
      <c r="R26" s="5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9.8" x14ac:dyDescent="0.7">
      <c r="A27" s="53" t="str">
        <f t="shared" si="0"/>
        <v>PBA000A000E000-0</v>
      </c>
      <c r="B27" s="53" t="str">
        <f t="shared" si="1"/>
        <v>Catchbox Plus System with 2 channel Hub DSP recever with Networking and DANTE 1 Cube incl chargers, Custom</v>
      </c>
      <c r="C27" s="60">
        <f>IF(F27="x",'Input for bundle selection'!$B$82,IF(G27="x",'Input for bundle selection'!$B$82+'Input for bundle selection'!$B$84,IF(H27="x",'Input for bundle selection'!$B$83,IF(I27="x",'Input for bundle selection'!$B$83+'Input for bundle selection'!$B$84,0))))+J27*'Input for bundle selection'!$B$85+K27*'Input for bundle selection'!$B$86+L27*'Input for bundle selection'!$B$87+IF(R27="x",SUM(J27:L27)*'Input for bundle selection'!$B$88,0)</f>
        <v>1699</v>
      </c>
      <c r="D27" s="54"/>
      <c r="E27" s="54" t="s">
        <v>47</v>
      </c>
      <c r="F27" s="54"/>
      <c r="G27" s="54" t="s">
        <v>47</v>
      </c>
      <c r="H27" s="54"/>
      <c r="I27" s="54"/>
      <c r="J27" s="54">
        <v>1</v>
      </c>
      <c r="K27" s="54"/>
      <c r="L27" s="54"/>
      <c r="M27" s="54">
        <f t="shared" si="2"/>
        <v>1</v>
      </c>
      <c r="N27" s="54" t="str">
        <f t="shared" si="3"/>
        <v/>
      </c>
      <c r="O27" s="54" t="str">
        <f t="shared" si="5"/>
        <v/>
      </c>
      <c r="P27" s="54" t="str">
        <f t="shared" si="4"/>
        <v/>
      </c>
      <c r="Q27" s="54"/>
      <c r="R27" s="54" t="s">
        <v>47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9.8" x14ac:dyDescent="0.7">
      <c r="A28" s="53" t="str">
        <f t="shared" si="0"/>
        <v>PBB000B000J000-0</v>
      </c>
      <c r="B28" s="53" t="str">
        <f t="shared" si="1"/>
        <v>Catchbox Plus System with 2 channel Hub DSP recever with Networking and DANTE 1 Clip incl chargers, Custom</v>
      </c>
      <c r="C28" s="60">
        <f>IF(F28="x",'Input for bundle selection'!$B$82,IF(G28="x",'Input for bundle selection'!$B$82+'Input for bundle selection'!$B$84,IF(H28="x",'Input for bundle selection'!$B$83,IF(I28="x",'Input for bundle selection'!$B$83+'Input for bundle selection'!$B$84,0))))+J28*'Input for bundle selection'!$B$85+K28*'Input for bundle selection'!$B$86+L28*'Input for bundle selection'!$B$87+IF(R28="x",SUM(J28:L28)*'Input for bundle selection'!$B$88,0)</f>
        <v>1599</v>
      </c>
      <c r="D28" s="54"/>
      <c r="E28" s="54" t="s">
        <v>47</v>
      </c>
      <c r="F28" s="54"/>
      <c r="G28" s="54" t="s">
        <v>47</v>
      </c>
      <c r="H28" s="54"/>
      <c r="I28" s="54"/>
      <c r="J28" s="54"/>
      <c r="K28" s="54">
        <v>1</v>
      </c>
      <c r="L28" s="54"/>
      <c r="M28" s="54" t="str">
        <f t="shared" si="2"/>
        <v/>
      </c>
      <c r="N28" s="54">
        <f t="shared" si="3"/>
        <v>1</v>
      </c>
      <c r="O28" s="54" t="str">
        <f t="shared" si="5"/>
        <v/>
      </c>
      <c r="P28" s="54">
        <f t="shared" si="4"/>
        <v>1</v>
      </c>
      <c r="Q28" s="54"/>
      <c r="R28" s="54" t="s">
        <v>47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9.8" x14ac:dyDescent="0.7">
      <c r="A29" s="53" t="str">
        <f t="shared" si="0"/>
        <v>PBC000B000O000-0</v>
      </c>
      <c r="B29" s="53" t="str">
        <f t="shared" si="1"/>
        <v>Catchbox Plus System with 2 channel Hub DSP recever with Networking and DANTE 1 Stick incl chargers, Custom</v>
      </c>
      <c r="C29" s="60">
        <f>IF(F29="x",'Input for bundle selection'!$B$82,IF(G29="x",'Input for bundle selection'!$B$82+'Input for bundle selection'!$B$84,IF(H29="x",'Input for bundle selection'!$B$83,IF(I29="x",'Input for bundle selection'!$B$83+'Input for bundle selection'!$B$84,0))))+J29*'Input for bundle selection'!$B$85+K29*'Input for bundle selection'!$B$86+L29*'Input for bundle selection'!$B$87+IF(R29="x",SUM(J29:L29)*'Input for bundle selection'!$B$88,0)</f>
        <v>1649</v>
      </c>
      <c r="D29" s="54"/>
      <c r="E29" s="54" t="s">
        <v>47</v>
      </c>
      <c r="F29" s="54"/>
      <c r="G29" s="54" t="s">
        <v>47</v>
      </c>
      <c r="H29" s="54"/>
      <c r="I29" s="54"/>
      <c r="J29" s="54"/>
      <c r="K29" s="54"/>
      <c r="L29" s="54">
        <v>1</v>
      </c>
      <c r="M29" s="54" t="str">
        <f t="shared" si="2"/>
        <v/>
      </c>
      <c r="N29" s="54">
        <f t="shared" si="3"/>
        <v>1</v>
      </c>
      <c r="O29" s="54" t="str">
        <f t="shared" si="5"/>
        <v/>
      </c>
      <c r="P29" s="54">
        <f t="shared" si="4"/>
        <v>1</v>
      </c>
      <c r="Q29" s="54"/>
      <c r="R29" s="54" t="s">
        <v>47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9.8" x14ac:dyDescent="0.7">
      <c r="A30" s="53" t="str">
        <f t="shared" si="0"/>
        <v>PBAB00AB00AF00-0</v>
      </c>
      <c r="B30" s="53" t="str">
        <f t="shared" si="1"/>
        <v>Catchbox Plus System with 2 channel Hub DSP recever with Networking and DANTE 1 Cube 1 Clip incl chargers, Standard - Red</v>
      </c>
      <c r="C30" s="60">
        <f>IF(F30="x",'Input for bundle selection'!$B$82,IF(G30="x",'Input for bundle selection'!$B$82+'Input for bundle selection'!$B$84,IF(H30="x",'Input for bundle selection'!$B$83,IF(I30="x",'Input for bundle selection'!$B$83+'Input for bundle selection'!$B$84,0))))+J30*'Input for bundle selection'!$B$85+K30*'Input for bundle selection'!$B$86+L30*'Input for bundle selection'!$B$87+IF(R30="x",SUM(J30:L30)*'Input for bundle selection'!$B$88,0)</f>
        <v>2099</v>
      </c>
      <c r="D30" s="54"/>
      <c r="E30" s="54" t="s">
        <v>47</v>
      </c>
      <c r="F30" s="54"/>
      <c r="G30" s="54" t="s">
        <v>47</v>
      </c>
      <c r="H30" s="54"/>
      <c r="I30" s="54"/>
      <c r="J30" s="54">
        <v>1</v>
      </c>
      <c r="K30" s="54">
        <v>1</v>
      </c>
      <c r="L30" s="54"/>
      <c r="M30" s="54">
        <f t="shared" si="2"/>
        <v>1</v>
      </c>
      <c r="N30" s="54">
        <f t="shared" si="3"/>
        <v>1</v>
      </c>
      <c r="O30" s="54" t="str">
        <f t="shared" si="5"/>
        <v/>
      </c>
      <c r="P30" s="54">
        <f t="shared" si="4"/>
        <v>1</v>
      </c>
      <c r="Q30" s="54" t="s">
        <v>47</v>
      </c>
      <c r="R30" s="5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9.8" x14ac:dyDescent="0.7">
      <c r="A31" s="53" t="str">
        <f t="shared" si="0"/>
        <v>PBAC00AB00AK00-0</v>
      </c>
      <c r="B31" s="53" t="str">
        <f t="shared" si="1"/>
        <v>Catchbox Plus System with 2 channel Hub DSP recever with Networking and DANTE 1 Cube 1 Stick incl chargers, Standard - Red</v>
      </c>
      <c r="C31" s="60">
        <f>IF(F31="x",'Input for bundle selection'!$B$82,IF(G31="x",'Input for bundle selection'!$B$82+'Input for bundle selection'!$B$84,IF(H31="x",'Input for bundle selection'!$B$83,IF(I31="x",'Input for bundle selection'!$B$83+'Input for bundle selection'!$B$84,0))))+J31*'Input for bundle selection'!$B$85+K31*'Input for bundle selection'!$B$86+L31*'Input for bundle selection'!$B$87+IF(R31="x",SUM(J31:L31)*'Input for bundle selection'!$B$88,0)</f>
        <v>2149</v>
      </c>
      <c r="D31" s="54"/>
      <c r="E31" s="54" t="s">
        <v>47</v>
      </c>
      <c r="F31" s="54"/>
      <c r="G31" s="54" t="s">
        <v>47</v>
      </c>
      <c r="H31" s="54"/>
      <c r="I31" s="54"/>
      <c r="J31" s="54">
        <v>1</v>
      </c>
      <c r="K31" s="54"/>
      <c r="L31" s="54">
        <v>1</v>
      </c>
      <c r="M31" s="54">
        <f t="shared" si="2"/>
        <v>1</v>
      </c>
      <c r="N31" s="54">
        <f t="shared" si="3"/>
        <v>1</v>
      </c>
      <c r="O31" s="54" t="str">
        <f t="shared" si="5"/>
        <v/>
      </c>
      <c r="P31" s="54">
        <f t="shared" si="4"/>
        <v>1</v>
      </c>
      <c r="Q31" s="54" t="s">
        <v>47</v>
      </c>
      <c r="R31" s="5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9.8" x14ac:dyDescent="0.7">
      <c r="A32" s="53" t="str">
        <f t="shared" si="0"/>
        <v>PBBC00C000FK00-0</v>
      </c>
      <c r="B32" s="53" t="str">
        <f t="shared" si="1"/>
        <v>Catchbox Plus System with 2 channel Hub DSP recever with Networking and DANTE 1 Clip 1 Stick incl chargers, Standard - Red</v>
      </c>
      <c r="C32" s="60">
        <f>IF(F32="x",'Input for bundle selection'!$B$82,IF(G32="x",'Input for bundle selection'!$B$82+'Input for bundle selection'!$B$84,IF(H32="x",'Input for bundle selection'!$B$83,IF(I32="x",'Input for bundle selection'!$B$83+'Input for bundle selection'!$B$84,0))))+J32*'Input for bundle selection'!$B$85+K32*'Input for bundle selection'!$B$86+L32*'Input for bundle selection'!$B$87+IF(R32="x",SUM(J32:L32)*'Input for bundle selection'!$B$88,0)</f>
        <v>2049</v>
      </c>
      <c r="D32" s="54"/>
      <c r="E32" s="54" t="s">
        <v>47</v>
      </c>
      <c r="F32" s="54"/>
      <c r="G32" s="54" t="s">
        <v>47</v>
      </c>
      <c r="H32" s="54"/>
      <c r="I32" s="54"/>
      <c r="J32" s="54"/>
      <c r="K32" s="54">
        <v>1</v>
      </c>
      <c r="L32" s="54">
        <v>1</v>
      </c>
      <c r="M32" s="54" t="str">
        <f t="shared" si="2"/>
        <v/>
      </c>
      <c r="N32" s="54" t="str">
        <f t="shared" si="3"/>
        <v/>
      </c>
      <c r="O32" s="54">
        <f t="shared" si="5"/>
        <v>1</v>
      </c>
      <c r="P32" s="54">
        <f t="shared" si="4"/>
        <v>1</v>
      </c>
      <c r="Q32" s="54" t="s">
        <v>47</v>
      </c>
      <c r="R32" s="54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9.8" x14ac:dyDescent="0.7">
      <c r="A33" s="53" t="str">
        <f t="shared" si="0"/>
        <v>PBAA00AA00AA00-0</v>
      </c>
      <c r="B33" s="53" t="str">
        <f t="shared" si="1"/>
        <v>Catchbox Plus System with 2 channel Hub DSP recever with Networking and DANTE 2 Cube incl chargers, Standard - Red</v>
      </c>
      <c r="C33" s="60">
        <f>IF(F33="x",'Input for bundle selection'!$B$82,IF(G33="x",'Input for bundle selection'!$B$82+'Input for bundle selection'!$B$84,IF(H33="x",'Input for bundle selection'!$B$83,IF(I33="x",'Input for bundle selection'!$B$83+'Input for bundle selection'!$B$84,0))))+J33*'Input for bundle selection'!$B$85+K33*'Input for bundle selection'!$B$86+L33*'Input for bundle selection'!$B$87+IF(R33="x",SUM(J33:L33)*'Input for bundle selection'!$B$88,0)</f>
        <v>2199</v>
      </c>
      <c r="D33" s="54"/>
      <c r="E33" s="54" t="s">
        <v>47</v>
      </c>
      <c r="F33" s="54"/>
      <c r="G33" s="54" t="s">
        <v>47</v>
      </c>
      <c r="H33" s="54"/>
      <c r="I33" s="54"/>
      <c r="J33" s="54">
        <v>2</v>
      </c>
      <c r="K33" s="54"/>
      <c r="L33" s="54"/>
      <c r="M33" s="54">
        <f t="shared" si="2"/>
        <v>2</v>
      </c>
      <c r="N33" s="54" t="str">
        <f t="shared" si="3"/>
        <v/>
      </c>
      <c r="O33" s="54" t="str">
        <f t="shared" si="5"/>
        <v/>
      </c>
      <c r="P33" s="54" t="str">
        <f t="shared" si="4"/>
        <v/>
      </c>
      <c r="Q33" s="54" t="s">
        <v>47</v>
      </c>
      <c r="R33" s="5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9.8" x14ac:dyDescent="0.7">
      <c r="A34" s="53" t="str">
        <f t="shared" si="0"/>
        <v>PBBB00C000FF00-0</v>
      </c>
      <c r="B34" s="53" t="str">
        <f t="shared" si="1"/>
        <v>Catchbox Plus System with 2 channel Hub DSP recever with Networking and DANTE 2 Clip incl chargers, Standard - Red</v>
      </c>
      <c r="C34" s="60">
        <f>IF(F34="x",'Input for bundle selection'!$B$82,IF(G34="x",'Input for bundle selection'!$B$82+'Input for bundle selection'!$B$84,IF(H34="x",'Input for bundle selection'!$B$83,IF(I34="x",'Input for bundle selection'!$B$83+'Input for bundle selection'!$B$84,0))))+J34*'Input for bundle selection'!$B$85+K34*'Input for bundle selection'!$B$86+L34*'Input for bundle selection'!$B$87+IF(R34="x",SUM(J34:L34)*'Input for bundle selection'!$B$88,0)</f>
        <v>1999</v>
      </c>
      <c r="D34" s="54"/>
      <c r="E34" s="54" t="s">
        <v>47</v>
      </c>
      <c r="F34" s="54"/>
      <c r="G34" s="54" t="s">
        <v>47</v>
      </c>
      <c r="H34" s="54"/>
      <c r="I34" s="54"/>
      <c r="J34" s="54"/>
      <c r="K34" s="54">
        <v>2</v>
      </c>
      <c r="L34" s="54"/>
      <c r="M34" s="54" t="str">
        <f t="shared" si="2"/>
        <v/>
      </c>
      <c r="N34" s="54" t="str">
        <f t="shared" si="3"/>
        <v/>
      </c>
      <c r="O34" s="54">
        <f t="shared" si="5"/>
        <v>1</v>
      </c>
      <c r="P34" s="54">
        <f t="shared" si="4"/>
        <v>1</v>
      </c>
      <c r="Q34" s="54" t="s">
        <v>47</v>
      </c>
      <c r="R34" s="5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9.8" x14ac:dyDescent="0.7">
      <c r="A35" s="53" t="str">
        <f t="shared" si="0"/>
        <v>PBCC00C000KK00-0</v>
      </c>
      <c r="B35" s="53" t="str">
        <f t="shared" si="1"/>
        <v>Catchbox Plus System with 2 channel Hub DSP recever with Networking and DANTE 2 Stick incl chargers, Standard - Red</v>
      </c>
      <c r="C35" s="60">
        <f>IF(F35="x",'Input for bundle selection'!$B$82,IF(G35="x",'Input for bundle selection'!$B$82+'Input for bundle selection'!$B$84,IF(H35="x",'Input for bundle selection'!$B$83,IF(I35="x",'Input for bundle selection'!$B$83+'Input for bundle selection'!$B$84,0))))+J35*'Input for bundle selection'!$B$85+K35*'Input for bundle selection'!$B$86+L35*'Input for bundle selection'!$B$87+IF(R35="x",SUM(J35:L35)*'Input for bundle selection'!$B$88,0)</f>
        <v>2099</v>
      </c>
      <c r="D35" s="54"/>
      <c r="E35" s="54" t="s">
        <v>47</v>
      </c>
      <c r="F35" s="54"/>
      <c r="G35" s="54" t="s">
        <v>47</v>
      </c>
      <c r="H35" s="54"/>
      <c r="I35" s="54"/>
      <c r="J35" s="54"/>
      <c r="K35" s="54"/>
      <c r="L35" s="54">
        <v>2</v>
      </c>
      <c r="M35" s="54" t="str">
        <f t="shared" si="2"/>
        <v/>
      </c>
      <c r="N35" s="54" t="str">
        <f t="shared" si="3"/>
        <v/>
      </c>
      <c r="O35" s="54">
        <f t="shared" si="5"/>
        <v>1</v>
      </c>
      <c r="P35" s="54">
        <f t="shared" si="4"/>
        <v>1</v>
      </c>
      <c r="Q35" s="54" t="s">
        <v>47</v>
      </c>
      <c r="R35" s="5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9.8" x14ac:dyDescent="0.7">
      <c r="A36" s="53" t="str">
        <f t="shared" si="0"/>
        <v>PBAB00AB00EJ00-0</v>
      </c>
      <c r="B36" s="53" t="str">
        <f t="shared" si="1"/>
        <v>Catchbox Plus System with 2 channel Hub DSP recever with Networking and DANTE 1 Cube 1 Clip incl chargers, Custom</v>
      </c>
      <c r="C36" s="60">
        <f>IF(F36="x",'Input for bundle selection'!$B$82,IF(G36="x",'Input for bundle selection'!$B$82+'Input for bundle selection'!$B$84,IF(H36="x",'Input for bundle selection'!$B$83,IF(I36="x",'Input for bundle selection'!$B$83+'Input for bundle selection'!$B$84,0))))+J36*'Input for bundle selection'!$B$85+K36*'Input for bundle selection'!$B$86+L36*'Input for bundle selection'!$B$87+IF(R36="x",SUM(J36:L36)*'Input for bundle selection'!$B$88,0)</f>
        <v>2199</v>
      </c>
      <c r="D36" s="54"/>
      <c r="E36" s="54" t="s">
        <v>47</v>
      </c>
      <c r="F36" s="54"/>
      <c r="G36" s="54" t="s">
        <v>47</v>
      </c>
      <c r="H36" s="54"/>
      <c r="I36" s="54"/>
      <c r="J36" s="54">
        <v>1</v>
      </c>
      <c r="K36" s="54">
        <v>1</v>
      </c>
      <c r="L36" s="54"/>
      <c r="M36" s="54">
        <f t="shared" si="2"/>
        <v>1</v>
      </c>
      <c r="N36" s="54">
        <f t="shared" si="3"/>
        <v>1</v>
      </c>
      <c r="O36" s="54" t="str">
        <f t="shared" si="5"/>
        <v/>
      </c>
      <c r="P36" s="54">
        <f t="shared" si="4"/>
        <v>1</v>
      </c>
      <c r="Q36" s="54"/>
      <c r="R36" s="54" t="s">
        <v>47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9.8" x14ac:dyDescent="0.7">
      <c r="A37" s="53" t="str">
        <f t="shared" si="0"/>
        <v>PBAC00AB00EO00-0</v>
      </c>
      <c r="B37" s="53" t="str">
        <f t="shared" si="1"/>
        <v>Catchbox Plus System with 2 channel Hub DSP recever with Networking and DANTE 1 Cube 1 Stick incl chargers, Custom</v>
      </c>
      <c r="C37" s="60">
        <f>IF(F37="x",'Input for bundle selection'!$B$82,IF(G37="x",'Input for bundle selection'!$B$82+'Input for bundle selection'!$B$84,IF(H37="x",'Input for bundle selection'!$B$83,IF(I37="x",'Input for bundle selection'!$B$83+'Input for bundle selection'!$B$84,0))))+J37*'Input for bundle selection'!$B$85+K37*'Input for bundle selection'!$B$86+L37*'Input for bundle selection'!$B$87+IF(R37="x",SUM(J37:L37)*'Input for bundle selection'!$B$88,0)</f>
        <v>2249</v>
      </c>
      <c r="D37" s="54"/>
      <c r="E37" s="54" t="s">
        <v>47</v>
      </c>
      <c r="F37" s="54"/>
      <c r="G37" s="54" t="s">
        <v>47</v>
      </c>
      <c r="H37" s="54"/>
      <c r="I37" s="54"/>
      <c r="J37" s="54">
        <v>1</v>
      </c>
      <c r="K37" s="54"/>
      <c r="L37" s="54">
        <v>1</v>
      </c>
      <c r="M37" s="54">
        <f t="shared" si="2"/>
        <v>1</v>
      </c>
      <c r="N37" s="54">
        <f t="shared" si="3"/>
        <v>1</v>
      </c>
      <c r="O37" s="54" t="str">
        <f t="shared" si="5"/>
        <v/>
      </c>
      <c r="P37" s="54">
        <f t="shared" si="4"/>
        <v>1</v>
      </c>
      <c r="Q37" s="54"/>
      <c r="R37" s="54" t="s">
        <v>47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9.8" x14ac:dyDescent="0.7">
      <c r="A38" s="53" t="str">
        <f t="shared" si="0"/>
        <v>PBBC00C000JO00-0</v>
      </c>
      <c r="B38" s="53" t="str">
        <f t="shared" si="1"/>
        <v>Catchbox Plus System with 2 channel Hub DSP recever with Networking and DANTE 1 Clip 1 Stick incl chargers, Custom</v>
      </c>
      <c r="C38" s="60">
        <f>IF(F38="x",'Input for bundle selection'!$B$82,IF(G38="x",'Input for bundle selection'!$B$82+'Input for bundle selection'!$B$84,IF(H38="x",'Input for bundle selection'!$B$83,IF(I38="x",'Input for bundle selection'!$B$83+'Input for bundle selection'!$B$84,0))))+J38*'Input for bundle selection'!$B$85+K38*'Input for bundle selection'!$B$86+L38*'Input for bundle selection'!$B$87+IF(R38="x",SUM(J38:L38)*'Input for bundle selection'!$B$88,0)</f>
        <v>2149</v>
      </c>
      <c r="D38" s="54"/>
      <c r="E38" s="54" t="s">
        <v>47</v>
      </c>
      <c r="F38" s="54"/>
      <c r="G38" s="54" t="s">
        <v>47</v>
      </c>
      <c r="H38" s="54"/>
      <c r="I38" s="54"/>
      <c r="J38" s="54"/>
      <c r="K38" s="54">
        <v>1</v>
      </c>
      <c r="L38" s="54">
        <v>1</v>
      </c>
      <c r="M38" s="54" t="str">
        <f t="shared" si="2"/>
        <v/>
      </c>
      <c r="N38" s="54" t="str">
        <f t="shared" si="3"/>
        <v/>
      </c>
      <c r="O38" s="54">
        <f t="shared" si="5"/>
        <v>1</v>
      </c>
      <c r="P38" s="54">
        <f t="shared" si="4"/>
        <v>1</v>
      </c>
      <c r="Q38" s="54"/>
      <c r="R38" s="54" t="s">
        <v>47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9.8" x14ac:dyDescent="0.7">
      <c r="A39" s="53" t="str">
        <f t="shared" si="0"/>
        <v>PBAA00AA00EE00-0</v>
      </c>
      <c r="B39" s="53" t="str">
        <f t="shared" si="1"/>
        <v>Catchbox Plus System with 2 channel Hub DSP recever with Networking and DANTE 2 Cube incl chargers, Custom</v>
      </c>
      <c r="C39" s="60">
        <f>IF(F39="x",'Input for bundle selection'!$B$82,IF(G39="x",'Input for bundle selection'!$B$82+'Input for bundle selection'!$B$84,IF(H39="x",'Input for bundle selection'!$B$83,IF(I39="x",'Input for bundle selection'!$B$83+'Input for bundle selection'!$B$84,0))))+J39*'Input for bundle selection'!$B$85+K39*'Input for bundle selection'!$B$86+L39*'Input for bundle selection'!$B$87+IF(R39="x",SUM(J39:L39)*'Input for bundle selection'!$B$88,0)</f>
        <v>2299</v>
      </c>
      <c r="D39" s="54"/>
      <c r="E39" s="54" t="s">
        <v>47</v>
      </c>
      <c r="F39" s="54"/>
      <c r="G39" s="54" t="s">
        <v>47</v>
      </c>
      <c r="H39" s="54"/>
      <c r="I39" s="54"/>
      <c r="J39" s="54">
        <v>2</v>
      </c>
      <c r="K39" s="54"/>
      <c r="L39" s="54"/>
      <c r="M39" s="54">
        <f t="shared" si="2"/>
        <v>2</v>
      </c>
      <c r="N39" s="54" t="str">
        <f t="shared" si="3"/>
        <v/>
      </c>
      <c r="O39" s="54" t="str">
        <f t="shared" si="5"/>
        <v/>
      </c>
      <c r="P39" s="54" t="str">
        <f t="shared" si="4"/>
        <v/>
      </c>
      <c r="Q39" s="54"/>
      <c r="R39" s="54" t="s">
        <v>47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9.8" x14ac:dyDescent="0.7">
      <c r="A40" s="53" t="str">
        <f t="shared" si="0"/>
        <v>PBBB00C000JJ00-0</v>
      </c>
      <c r="B40" s="53" t="str">
        <f t="shared" si="1"/>
        <v>Catchbox Plus System with 2 channel Hub DSP recever with Networking and DANTE 2 Clip incl chargers, Custom</v>
      </c>
      <c r="C40" s="60">
        <f>IF(F40="x",'Input for bundle selection'!$B$82,IF(G40="x",'Input for bundle selection'!$B$82+'Input for bundle selection'!$B$84,IF(H40="x",'Input for bundle selection'!$B$83,IF(I40="x",'Input for bundle selection'!$B$83+'Input for bundle selection'!$B$84,0))))+J40*'Input for bundle selection'!$B$85+K40*'Input for bundle selection'!$B$86+L40*'Input for bundle selection'!$B$87+IF(R40="x",SUM(J40:L40)*'Input for bundle selection'!$B$88,0)</f>
        <v>2099</v>
      </c>
      <c r="D40" s="54"/>
      <c r="E40" s="54" t="s">
        <v>47</v>
      </c>
      <c r="F40" s="54"/>
      <c r="G40" s="54" t="s">
        <v>47</v>
      </c>
      <c r="H40" s="54"/>
      <c r="I40" s="54"/>
      <c r="J40" s="54"/>
      <c r="K40" s="54">
        <v>2</v>
      </c>
      <c r="L40" s="54"/>
      <c r="M40" s="54" t="str">
        <f t="shared" si="2"/>
        <v/>
      </c>
      <c r="N40" s="54" t="str">
        <f t="shared" si="3"/>
        <v/>
      </c>
      <c r="O40" s="54">
        <f t="shared" si="5"/>
        <v>1</v>
      </c>
      <c r="P40" s="54">
        <f t="shared" si="4"/>
        <v>1</v>
      </c>
      <c r="Q40" s="54"/>
      <c r="R40" s="54" t="s">
        <v>47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9.8" x14ac:dyDescent="0.7">
      <c r="A41" s="53" t="str">
        <f t="shared" si="0"/>
        <v>PBCC00C000OO00-0</v>
      </c>
      <c r="B41" s="53" t="str">
        <f t="shared" si="1"/>
        <v>Catchbox Plus System with 2 channel Hub DSP recever with Networking and DANTE 2 Stick incl chargers, Custom</v>
      </c>
      <c r="C41" s="60">
        <f>IF(F41="x",'Input for bundle selection'!$B$82,IF(G41="x",'Input for bundle selection'!$B$82+'Input for bundle selection'!$B$84,IF(H41="x",'Input for bundle selection'!$B$83,IF(I41="x",'Input for bundle selection'!$B$83+'Input for bundle selection'!$B$84,0))))+J41*'Input for bundle selection'!$B$85+K41*'Input for bundle selection'!$B$86+L41*'Input for bundle selection'!$B$87+IF(R41="x",SUM(J41:L41)*'Input for bundle selection'!$B$88,0)</f>
        <v>2199</v>
      </c>
      <c r="D41" s="54"/>
      <c r="E41" s="54" t="s">
        <v>47</v>
      </c>
      <c r="F41" s="54"/>
      <c r="G41" s="54" t="s">
        <v>47</v>
      </c>
      <c r="H41" s="54"/>
      <c r="I41" s="54"/>
      <c r="J41" s="54"/>
      <c r="K41" s="54"/>
      <c r="L41" s="54">
        <v>2</v>
      </c>
      <c r="M41" s="54" t="str">
        <f t="shared" si="2"/>
        <v/>
      </c>
      <c r="N41" s="54" t="str">
        <f t="shared" si="3"/>
        <v/>
      </c>
      <c r="O41" s="54">
        <f t="shared" si="5"/>
        <v>1</v>
      </c>
      <c r="P41" s="54">
        <f t="shared" si="4"/>
        <v>1</v>
      </c>
      <c r="Q41" s="54"/>
      <c r="R41" s="54" t="s">
        <v>47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9.8" x14ac:dyDescent="0.7">
      <c r="A42" s="53" t="str">
        <f t="shared" si="0"/>
        <v>PCA000A000A000-0</v>
      </c>
      <c r="B42" s="53" t="str">
        <f t="shared" si="1"/>
        <v>Catchbox Plus System with 4 channel Hub DSP receiver 1 Cube incl chargers, Standard - Red</v>
      </c>
      <c r="C42" s="60">
        <f>IF(F42="x",'Input for bundle selection'!$B$82,IF(G42="x",'Input for bundle selection'!$B$82+'Input for bundle selection'!$B$84,IF(H42="x",'Input for bundle selection'!$B$83,IF(I42="x",'Input for bundle selection'!$B$83+'Input for bundle selection'!$B$84,0))))+J42*'Input for bundle selection'!$B$85+K42*'Input for bundle selection'!$B$86+L42*'Input for bundle selection'!$B$87+IF(R42="x",SUM(J42:L42)*'Input for bundle selection'!$B$88,0)</f>
        <v>1899</v>
      </c>
      <c r="D42" s="54"/>
      <c r="E42" s="54" t="s">
        <v>47</v>
      </c>
      <c r="F42" s="54"/>
      <c r="G42" s="54"/>
      <c r="H42" s="54" t="s">
        <v>47</v>
      </c>
      <c r="I42" s="54"/>
      <c r="J42" s="54">
        <v>1</v>
      </c>
      <c r="K42" s="54"/>
      <c r="L42" s="54"/>
      <c r="M42" s="54">
        <f t="shared" si="2"/>
        <v>1</v>
      </c>
      <c r="N42" s="54" t="str">
        <f t="shared" si="3"/>
        <v/>
      </c>
      <c r="O42" s="54" t="str">
        <f t="shared" si="5"/>
        <v/>
      </c>
      <c r="P42" s="54" t="str">
        <f t="shared" si="4"/>
        <v/>
      </c>
      <c r="Q42" s="54" t="s">
        <v>47</v>
      </c>
      <c r="R42" s="5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9.8" x14ac:dyDescent="0.7">
      <c r="A43" s="53" t="str">
        <f t="shared" si="0"/>
        <v>PCB000B000F000-0</v>
      </c>
      <c r="B43" s="53" t="str">
        <f t="shared" si="1"/>
        <v>Catchbox Plus System with 4 channel Hub DSP receiver 1 Clip incl chargers, Standard - Red</v>
      </c>
      <c r="C43" s="60">
        <f>IF(F43="x",'Input for bundle selection'!$B$82,IF(G43="x",'Input for bundle selection'!$B$82+'Input for bundle selection'!$B$84,IF(H43="x",'Input for bundle selection'!$B$83,IF(I43="x",'Input for bundle selection'!$B$83+'Input for bundle selection'!$B$84,0))))+J43*'Input for bundle selection'!$B$85+K43*'Input for bundle selection'!$B$86+L43*'Input for bundle selection'!$B$87+IF(R43="x",SUM(J43:L43)*'Input for bundle selection'!$B$88,0)</f>
        <v>1799</v>
      </c>
      <c r="D43" s="54"/>
      <c r="E43" s="54" t="s">
        <v>47</v>
      </c>
      <c r="F43" s="54"/>
      <c r="G43" s="54"/>
      <c r="H43" s="54" t="s">
        <v>47</v>
      </c>
      <c r="I43" s="54"/>
      <c r="J43" s="54"/>
      <c r="K43" s="54">
        <v>1</v>
      </c>
      <c r="L43" s="54"/>
      <c r="M43" s="54" t="str">
        <f t="shared" si="2"/>
        <v/>
      </c>
      <c r="N43" s="54">
        <f t="shared" si="3"/>
        <v>1</v>
      </c>
      <c r="O43" s="54" t="str">
        <f t="shared" si="5"/>
        <v/>
      </c>
      <c r="P43" s="54">
        <f t="shared" si="4"/>
        <v>1</v>
      </c>
      <c r="Q43" s="54" t="s">
        <v>47</v>
      </c>
      <c r="R43" s="5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9.8" x14ac:dyDescent="0.7">
      <c r="A44" s="53" t="str">
        <f t="shared" si="0"/>
        <v>PCC000B000K000-0</v>
      </c>
      <c r="B44" s="53" t="str">
        <f t="shared" si="1"/>
        <v>Catchbox Plus System with 4 channel Hub DSP receiver 1 Stick incl chargers, Standard - Red</v>
      </c>
      <c r="C44" s="60">
        <f>IF(F44="x",'Input for bundle selection'!$B$82,IF(G44="x",'Input for bundle selection'!$B$82+'Input for bundle selection'!$B$84,IF(H44="x",'Input for bundle selection'!$B$83,IF(I44="x",'Input for bundle selection'!$B$83+'Input for bundle selection'!$B$84,0))))+J44*'Input for bundle selection'!$B$85+K44*'Input for bundle selection'!$B$86+L44*'Input for bundle selection'!$B$87+IF(R44="x",SUM(J44:L44)*'Input for bundle selection'!$B$88,0)</f>
        <v>1849</v>
      </c>
      <c r="D44" s="54"/>
      <c r="E44" s="54" t="s">
        <v>47</v>
      </c>
      <c r="F44" s="54"/>
      <c r="G44" s="54"/>
      <c r="H44" s="54" t="s">
        <v>47</v>
      </c>
      <c r="I44" s="54"/>
      <c r="J44" s="54"/>
      <c r="K44" s="54"/>
      <c r="L44" s="54">
        <v>1</v>
      </c>
      <c r="M44" s="54" t="str">
        <f t="shared" si="2"/>
        <v/>
      </c>
      <c r="N44" s="54">
        <f t="shared" si="3"/>
        <v>1</v>
      </c>
      <c r="O44" s="54" t="str">
        <f t="shared" si="5"/>
        <v/>
      </c>
      <c r="P44" s="54">
        <f t="shared" si="4"/>
        <v>1</v>
      </c>
      <c r="Q44" s="54" t="s">
        <v>47</v>
      </c>
      <c r="R44" s="5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9.8" x14ac:dyDescent="0.7">
      <c r="A45" s="53" t="str">
        <f t="shared" si="0"/>
        <v>PCA000A000E000-0</v>
      </c>
      <c r="B45" s="53" t="str">
        <f t="shared" si="1"/>
        <v>Catchbox Plus System with 4 channel Hub DSP receiver 1 Cube incl chargers, Custom</v>
      </c>
      <c r="C45" s="60">
        <f>IF(F45="x",'Input for bundle selection'!$B$82,IF(G45="x",'Input for bundle selection'!$B$82+'Input for bundle selection'!$B$84,IF(H45="x",'Input for bundle selection'!$B$83,IF(I45="x",'Input for bundle selection'!$B$83+'Input for bundle selection'!$B$84,0))))+J45*'Input for bundle selection'!$B$85+K45*'Input for bundle selection'!$B$86+L45*'Input for bundle selection'!$B$87+IF(R45="x",SUM(J45:L45)*'Input for bundle selection'!$B$88,0)</f>
        <v>1949</v>
      </c>
      <c r="D45" s="54"/>
      <c r="E45" s="54" t="s">
        <v>47</v>
      </c>
      <c r="F45" s="54"/>
      <c r="G45" s="54"/>
      <c r="H45" s="54" t="s">
        <v>47</v>
      </c>
      <c r="I45" s="54"/>
      <c r="J45" s="54">
        <v>1</v>
      </c>
      <c r="K45" s="54"/>
      <c r="L45" s="54"/>
      <c r="M45" s="54">
        <f t="shared" si="2"/>
        <v>1</v>
      </c>
      <c r="N45" s="54" t="str">
        <f t="shared" si="3"/>
        <v/>
      </c>
      <c r="O45" s="54" t="str">
        <f t="shared" si="5"/>
        <v/>
      </c>
      <c r="P45" s="54" t="str">
        <f t="shared" si="4"/>
        <v/>
      </c>
      <c r="Q45" s="54"/>
      <c r="R45" s="54" t="s">
        <v>47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9.8" x14ac:dyDescent="0.7">
      <c r="A46" s="53" t="str">
        <f t="shared" si="0"/>
        <v>PCB000B000J000-0</v>
      </c>
      <c r="B46" s="53" t="str">
        <f t="shared" si="1"/>
        <v>Catchbox Plus System with 4 channel Hub DSP receiver 1 Clip incl chargers, Custom</v>
      </c>
      <c r="C46" s="60">
        <f>IF(F46="x",'Input for bundle selection'!$B$82,IF(G46="x",'Input for bundle selection'!$B$82+'Input for bundle selection'!$B$84,IF(H46="x",'Input for bundle selection'!$B$83,IF(I46="x",'Input for bundle selection'!$B$83+'Input for bundle selection'!$B$84,0))))+J46*'Input for bundle selection'!$B$85+K46*'Input for bundle selection'!$B$86+L46*'Input for bundle selection'!$B$87+IF(R46="x",SUM(J46:L46)*'Input for bundle selection'!$B$88,0)</f>
        <v>1849</v>
      </c>
      <c r="D46" s="54"/>
      <c r="E46" s="54" t="s">
        <v>47</v>
      </c>
      <c r="F46" s="54"/>
      <c r="G46" s="54"/>
      <c r="H46" s="54" t="s">
        <v>47</v>
      </c>
      <c r="I46" s="54"/>
      <c r="J46" s="54"/>
      <c r="K46" s="54">
        <v>1</v>
      </c>
      <c r="L46" s="54"/>
      <c r="M46" s="54" t="str">
        <f t="shared" si="2"/>
        <v/>
      </c>
      <c r="N46" s="54">
        <f t="shared" si="3"/>
        <v>1</v>
      </c>
      <c r="O46" s="54" t="str">
        <f t="shared" si="5"/>
        <v/>
      </c>
      <c r="P46" s="54">
        <f t="shared" si="4"/>
        <v>1</v>
      </c>
      <c r="Q46" s="54"/>
      <c r="R46" s="54" t="s">
        <v>47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9.8" x14ac:dyDescent="0.7">
      <c r="A47" s="53" t="str">
        <f t="shared" si="0"/>
        <v>PCC000B000O000-0</v>
      </c>
      <c r="B47" s="53" t="str">
        <f t="shared" si="1"/>
        <v>Catchbox Plus System with 4 channel Hub DSP receiver 1 Stick incl chargers, Custom</v>
      </c>
      <c r="C47" s="60">
        <f>IF(F47="x",'Input for bundle selection'!$B$82,IF(G47="x",'Input for bundle selection'!$B$82+'Input for bundle selection'!$B$84,IF(H47="x",'Input for bundle selection'!$B$83,IF(I47="x",'Input for bundle selection'!$B$83+'Input for bundle selection'!$B$84,0))))+J47*'Input for bundle selection'!$B$85+K47*'Input for bundle selection'!$B$86+L47*'Input for bundle selection'!$B$87+IF(R47="x",SUM(J47:L47)*'Input for bundle selection'!$B$88,0)</f>
        <v>1899</v>
      </c>
      <c r="D47" s="54"/>
      <c r="E47" s="54" t="s">
        <v>47</v>
      </c>
      <c r="F47" s="54"/>
      <c r="G47" s="54"/>
      <c r="H47" s="54" t="s">
        <v>47</v>
      </c>
      <c r="I47" s="54"/>
      <c r="J47" s="54"/>
      <c r="K47" s="54"/>
      <c r="L47" s="54">
        <v>1</v>
      </c>
      <c r="M47" s="54" t="str">
        <f t="shared" si="2"/>
        <v/>
      </c>
      <c r="N47" s="54">
        <f t="shared" si="3"/>
        <v>1</v>
      </c>
      <c r="O47" s="54" t="str">
        <f t="shared" si="5"/>
        <v/>
      </c>
      <c r="P47" s="54">
        <f t="shared" si="4"/>
        <v>1</v>
      </c>
      <c r="Q47" s="54"/>
      <c r="R47" s="54" t="s">
        <v>47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9.8" x14ac:dyDescent="0.7">
      <c r="A48" s="53" t="str">
        <f t="shared" si="0"/>
        <v>PCAB00AB00AF00-0</v>
      </c>
      <c r="B48" s="53" t="str">
        <f t="shared" si="1"/>
        <v>Catchbox Plus System with 4 channel Hub DSP receiver 1 Cube 1 Clip incl chargers, Standard - Red</v>
      </c>
      <c r="C48" s="60">
        <f>IF(F48="x",'Input for bundle selection'!$B$82,IF(G48="x",'Input for bundle selection'!$B$82+'Input for bundle selection'!$B$84,IF(H48="x",'Input for bundle selection'!$B$83,IF(I48="x",'Input for bundle selection'!$B$83+'Input for bundle selection'!$B$84,0))))+J48*'Input for bundle selection'!$B$85+K48*'Input for bundle selection'!$B$86+L48*'Input for bundle selection'!$B$87+IF(R48="x",SUM(J48:L48)*'Input for bundle selection'!$B$88,0)</f>
        <v>2349</v>
      </c>
      <c r="D48" s="54"/>
      <c r="E48" s="54" t="s">
        <v>47</v>
      </c>
      <c r="F48" s="54"/>
      <c r="G48" s="54"/>
      <c r="H48" s="54" t="s">
        <v>47</v>
      </c>
      <c r="I48" s="54"/>
      <c r="J48" s="54">
        <v>1</v>
      </c>
      <c r="K48" s="54">
        <v>1</v>
      </c>
      <c r="L48" s="54"/>
      <c r="M48" s="54">
        <f t="shared" si="2"/>
        <v>1</v>
      </c>
      <c r="N48" s="54">
        <f t="shared" si="3"/>
        <v>1</v>
      </c>
      <c r="O48" s="54" t="str">
        <f t="shared" si="5"/>
        <v/>
      </c>
      <c r="P48" s="54">
        <f t="shared" si="4"/>
        <v>1</v>
      </c>
      <c r="Q48" s="54" t="s">
        <v>47</v>
      </c>
      <c r="R48" s="5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9.8" x14ac:dyDescent="0.7">
      <c r="A49" s="53" t="str">
        <f t="shared" si="0"/>
        <v>PCAC00AB00AK00-0</v>
      </c>
      <c r="B49" s="53" t="str">
        <f t="shared" si="1"/>
        <v>Catchbox Plus System with 4 channel Hub DSP receiver 1 Cube 1 Stick incl chargers, Standard - Red</v>
      </c>
      <c r="C49" s="60">
        <f>IF(F49="x",'Input for bundle selection'!$B$82,IF(G49="x",'Input for bundle selection'!$B$82+'Input for bundle selection'!$B$84,IF(H49="x",'Input for bundle selection'!$B$83,IF(I49="x",'Input for bundle selection'!$B$83+'Input for bundle selection'!$B$84,0))))+J49*'Input for bundle selection'!$B$85+K49*'Input for bundle selection'!$B$86+L49*'Input for bundle selection'!$B$87+IF(R49="x",SUM(J49:L49)*'Input for bundle selection'!$B$88,0)</f>
        <v>2399</v>
      </c>
      <c r="D49" s="54"/>
      <c r="E49" s="54" t="s">
        <v>47</v>
      </c>
      <c r="F49" s="54"/>
      <c r="G49" s="54"/>
      <c r="H49" s="54" t="s">
        <v>47</v>
      </c>
      <c r="I49" s="54"/>
      <c r="J49" s="54">
        <v>1</v>
      </c>
      <c r="K49" s="54"/>
      <c r="L49" s="54">
        <v>1</v>
      </c>
      <c r="M49" s="54">
        <f t="shared" si="2"/>
        <v>1</v>
      </c>
      <c r="N49" s="54">
        <f t="shared" si="3"/>
        <v>1</v>
      </c>
      <c r="O49" s="54" t="str">
        <f t="shared" si="5"/>
        <v/>
      </c>
      <c r="P49" s="54">
        <f t="shared" si="4"/>
        <v>1</v>
      </c>
      <c r="Q49" s="54" t="s">
        <v>47</v>
      </c>
      <c r="R49" s="5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9.8" x14ac:dyDescent="0.7">
      <c r="A50" s="53" t="str">
        <f t="shared" si="0"/>
        <v>PCBC00C000FK00-0</v>
      </c>
      <c r="B50" s="53" t="str">
        <f t="shared" si="1"/>
        <v>Catchbox Plus System with 4 channel Hub DSP receiver 1 Clip 1 Stick incl chargers, Standard - Red</v>
      </c>
      <c r="C50" s="60">
        <f>IF(F50="x",'Input for bundle selection'!$B$82,IF(G50="x",'Input for bundle selection'!$B$82+'Input for bundle selection'!$B$84,IF(H50="x",'Input for bundle selection'!$B$83,IF(I50="x",'Input for bundle selection'!$B$83+'Input for bundle selection'!$B$84,0))))+J50*'Input for bundle selection'!$B$85+K50*'Input for bundle selection'!$B$86+L50*'Input for bundle selection'!$B$87+IF(R50="x",SUM(J50:L50)*'Input for bundle selection'!$B$88,0)</f>
        <v>2299</v>
      </c>
      <c r="D50" s="54"/>
      <c r="E50" s="54" t="s">
        <v>47</v>
      </c>
      <c r="F50" s="54"/>
      <c r="G50" s="54"/>
      <c r="H50" s="54" t="s">
        <v>47</v>
      </c>
      <c r="I50" s="54"/>
      <c r="J50" s="54"/>
      <c r="K50" s="54">
        <v>1</v>
      </c>
      <c r="L50" s="54">
        <v>1</v>
      </c>
      <c r="M50" s="54" t="str">
        <f t="shared" si="2"/>
        <v/>
      </c>
      <c r="N50" s="54" t="str">
        <f t="shared" si="3"/>
        <v/>
      </c>
      <c r="O50" s="54">
        <f t="shared" si="5"/>
        <v>1</v>
      </c>
      <c r="P50" s="54">
        <f t="shared" si="4"/>
        <v>1</v>
      </c>
      <c r="Q50" s="54" t="s">
        <v>47</v>
      </c>
      <c r="R50" s="5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9.8" x14ac:dyDescent="0.7">
      <c r="A51" s="53" t="str">
        <f t="shared" si="0"/>
        <v>PCAA00AA00AA00-0</v>
      </c>
      <c r="B51" s="53" t="str">
        <f t="shared" si="1"/>
        <v>Catchbox Plus System with 4 channel Hub DSP receiver 2 Cube incl chargers, Standard - Red</v>
      </c>
      <c r="C51" s="60">
        <f>IF(F51="x",'Input for bundle selection'!$B$82,IF(G51="x",'Input for bundle selection'!$B$82+'Input for bundle selection'!$B$84,IF(H51="x",'Input for bundle selection'!$B$83,IF(I51="x",'Input for bundle selection'!$B$83+'Input for bundle selection'!$B$84,0))))+J51*'Input for bundle selection'!$B$85+K51*'Input for bundle selection'!$B$86+L51*'Input for bundle selection'!$B$87+IF(R51="x",SUM(J51:L51)*'Input for bundle selection'!$B$88,0)</f>
        <v>2449</v>
      </c>
      <c r="D51" s="54"/>
      <c r="E51" s="54" t="s">
        <v>47</v>
      </c>
      <c r="F51" s="54"/>
      <c r="G51" s="54"/>
      <c r="H51" s="54" t="s">
        <v>47</v>
      </c>
      <c r="I51" s="54"/>
      <c r="J51" s="54">
        <v>2</v>
      </c>
      <c r="K51" s="54"/>
      <c r="L51" s="54"/>
      <c r="M51" s="54">
        <f t="shared" si="2"/>
        <v>2</v>
      </c>
      <c r="N51" s="54" t="str">
        <f t="shared" si="3"/>
        <v/>
      </c>
      <c r="O51" s="54" t="str">
        <f t="shared" si="5"/>
        <v/>
      </c>
      <c r="P51" s="54" t="str">
        <f t="shared" si="4"/>
        <v/>
      </c>
      <c r="Q51" s="54" t="s">
        <v>47</v>
      </c>
      <c r="R51" s="5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9.8" x14ac:dyDescent="0.7">
      <c r="A52" s="53" t="str">
        <f t="shared" si="0"/>
        <v>PCBB00C000FF00-0</v>
      </c>
      <c r="B52" s="53" t="str">
        <f t="shared" si="1"/>
        <v>Catchbox Plus System with 4 channel Hub DSP receiver 2 Clip incl chargers, Standard - Red</v>
      </c>
      <c r="C52" s="60">
        <f>IF(F52="x",'Input for bundle selection'!$B$82,IF(G52="x",'Input for bundle selection'!$B$82+'Input for bundle selection'!$B$84,IF(H52="x",'Input for bundle selection'!$B$83,IF(I52="x",'Input for bundle selection'!$B$83+'Input for bundle selection'!$B$84,0))))+J52*'Input for bundle selection'!$B$85+K52*'Input for bundle selection'!$B$86+L52*'Input for bundle selection'!$B$87+IF(R52="x",SUM(J52:L52)*'Input for bundle selection'!$B$88,0)</f>
        <v>2249</v>
      </c>
      <c r="D52" s="54"/>
      <c r="E52" s="54" t="s">
        <v>47</v>
      </c>
      <c r="F52" s="54"/>
      <c r="G52" s="54"/>
      <c r="H52" s="54" t="s">
        <v>47</v>
      </c>
      <c r="I52" s="54"/>
      <c r="J52" s="54"/>
      <c r="K52" s="54">
        <v>2</v>
      </c>
      <c r="L52" s="54"/>
      <c r="M52" s="54" t="str">
        <f t="shared" si="2"/>
        <v/>
      </c>
      <c r="N52" s="54" t="str">
        <f t="shared" si="3"/>
        <v/>
      </c>
      <c r="O52" s="54">
        <f t="shared" si="5"/>
        <v>1</v>
      </c>
      <c r="P52" s="54">
        <f t="shared" si="4"/>
        <v>1</v>
      </c>
      <c r="Q52" s="54" t="s">
        <v>47</v>
      </c>
      <c r="R52" s="5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9.8" x14ac:dyDescent="0.7">
      <c r="A53" s="53" t="str">
        <f t="shared" si="0"/>
        <v>PCCC00C000KK00-0</v>
      </c>
      <c r="B53" s="53" t="str">
        <f t="shared" si="1"/>
        <v>Catchbox Plus System with 4 channel Hub DSP receiver 2 Stick incl chargers, Standard - Red</v>
      </c>
      <c r="C53" s="60">
        <f>IF(F53="x",'Input for bundle selection'!$B$82,IF(G53="x",'Input for bundle selection'!$B$82+'Input for bundle selection'!$B$84,IF(H53="x",'Input for bundle selection'!$B$83,IF(I53="x",'Input for bundle selection'!$B$83+'Input for bundle selection'!$B$84,0))))+J53*'Input for bundle selection'!$B$85+K53*'Input for bundle selection'!$B$86+L53*'Input for bundle selection'!$B$87+IF(R53="x",SUM(J53:L53)*'Input for bundle selection'!$B$88,0)</f>
        <v>2349</v>
      </c>
      <c r="D53" s="54"/>
      <c r="E53" s="54" t="s">
        <v>47</v>
      </c>
      <c r="F53" s="54"/>
      <c r="G53" s="54"/>
      <c r="H53" s="54" t="s">
        <v>47</v>
      </c>
      <c r="I53" s="54"/>
      <c r="J53" s="54"/>
      <c r="K53" s="54"/>
      <c r="L53" s="54">
        <v>2</v>
      </c>
      <c r="M53" s="54" t="str">
        <f t="shared" si="2"/>
        <v/>
      </c>
      <c r="N53" s="54" t="str">
        <f t="shared" si="3"/>
        <v/>
      </c>
      <c r="O53" s="54">
        <f t="shared" si="5"/>
        <v>1</v>
      </c>
      <c r="P53" s="54">
        <f t="shared" si="4"/>
        <v>1</v>
      </c>
      <c r="Q53" s="54" t="s">
        <v>47</v>
      </c>
      <c r="R53" s="5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9.8" x14ac:dyDescent="0.7">
      <c r="A54" s="53" t="str">
        <f t="shared" si="0"/>
        <v>PCAB00AB00EJ00-0</v>
      </c>
      <c r="B54" s="53" t="str">
        <f t="shared" si="1"/>
        <v>Catchbox Plus System with 4 channel Hub DSP receiver 1 Cube 1 Clip incl chargers, Custom</v>
      </c>
      <c r="C54" s="60">
        <f>IF(F54="x",'Input for bundle selection'!$B$82,IF(G54="x",'Input for bundle selection'!$B$82+'Input for bundle selection'!$B$84,IF(H54="x",'Input for bundle selection'!$B$83,IF(I54="x",'Input for bundle selection'!$B$83+'Input for bundle selection'!$B$84,0))))+J54*'Input for bundle selection'!$B$85+K54*'Input for bundle selection'!$B$86+L54*'Input for bundle selection'!$B$87+IF(R54="x",SUM(J54:L54)*'Input for bundle selection'!$B$88,0)</f>
        <v>2449</v>
      </c>
      <c r="D54" s="54"/>
      <c r="E54" s="54" t="s">
        <v>47</v>
      </c>
      <c r="F54" s="54"/>
      <c r="G54" s="54"/>
      <c r="H54" s="54" t="s">
        <v>47</v>
      </c>
      <c r="I54" s="54"/>
      <c r="J54" s="54">
        <v>1</v>
      </c>
      <c r="K54" s="54">
        <v>1</v>
      </c>
      <c r="L54" s="54"/>
      <c r="M54" s="54">
        <f t="shared" si="2"/>
        <v>1</v>
      </c>
      <c r="N54" s="54">
        <f t="shared" si="3"/>
        <v>1</v>
      </c>
      <c r="O54" s="54" t="str">
        <f t="shared" si="5"/>
        <v/>
      </c>
      <c r="P54" s="54">
        <f t="shared" si="4"/>
        <v>1</v>
      </c>
      <c r="Q54" s="54"/>
      <c r="R54" s="54" t="s">
        <v>47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9.8" x14ac:dyDescent="0.7">
      <c r="A55" s="53" t="str">
        <f t="shared" si="0"/>
        <v>PCAC00AB00EO00-0</v>
      </c>
      <c r="B55" s="53" t="str">
        <f t="shared" si="1"/>
        <v>Catchbox Plus System with 4 channel Hub DSP receiver 1 Cube 1 Stick incl chargers, Custom</v>
      </c>
      <c r="C55" s="60">
        <f>IF(F55="x",'Input for bundle selection'!$B$82,IF(G55="x",'Input for bundle selection'!$B$82+'Input for bundle selection'!$B$84,IF(H55="x",'Input for bundle selection'!$B$83,IF(I55="x",'Input for bundle selection'!$B$83+'Input for bundle selection'!$B$84,0))))+J55*'Input for bundle selection'!$B$85+K55*'Input for bundle selection'!$B$86+L55*'Input for bundle selection'!$B$87+IF(R55="x",SUM(J55:L55)*'Input for bundle selection'!$B$88,0)</f>
        <v>2499</v>
      </c>
      <c r="D55" s="54"/>
      <c r="E55" s="54" t="s">
        <v>47</v>
      </c>
      <c r="F55" s="54"/>
      <c r="G55" s="54"/>
      <c r="H55" s="54" t="s">
        <v>47</v>
      </c>
      <c r="I55" s="54"/>
      <c r="J55" s="54">
        <v>1</v>
      </c>
      <c r="K55" s="54"/>
      <c r="L55" s="54">
        <v>1</v>
      </c>
      <c r="M55" s="54">
        <f t="shared" si="2"/>
        <v>1</v>
      </c>
      <c r="N55" s="54">
        <f t="shared" si="3"/>
        <v>1</v>
      </c>
      <c r="O55" s="54" t="str">
        <f t="shared" si="5"/>
        <v/>
      </c>
      <c r="P55" s="54">
        <f t="shared" si="4"/>
        <v>1</v>
      </c>
      <c r="Q55" s="54"/>
      <c r="R55" s="54" t="s">
        <v>47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9.8" x14ac:dyDescent="0.7">
      <c r="A56" s="53" t="str">
        <f t="shared" si="0"/>
        <v>PCBC00C000JO00-0</v>
      </c>
      <c r="B56" s="53" t="str">
        <f t="shared" si="1"/>
        <v>Catchbox Plus System with 4 channel Hub DSP receiver 1 Clip 1 Stick incl chargers, Custom</v>
      </c>
      <c r="C56" s="60">
        <f>IF(F56="x",'Input for bundle selection'!$B$82,IF(G56="x",'Input for bundle selection'!$B$82+'Input for bundle selection'!$B$84,IF(H56="x",'Input for bundle selection'!$B$83,IF(I56="x",'Input for bundle selection'!$B$83+'Input for bundle selection'!$B$84,0))))+J56*'Input for bundle selection'!$B$85+K56*'Input for bundle selection'!$B$86+L56*'Input for bundle selection'!$B$87+IF(R56="x",SUM(J56:L56)*'Input for bundle selection'!$B$88,0)</f>
        <v>2399</v>
      </c>
      <c r="D56" s="54"/>
      <c r="E56" s="54" t="s">
        <v>47</v>
      </c>
      <c r="F56" s="54"/>
      <c r="G56" s="54"/>
      <c r="H56" s="54" t="s">
        <v>47</v>
      </c>
      <c r="I56" s="54"/>
      <c r="J56" s="54"/>
      <c r="K56" s="54">
        <v>1</v>
      </c>
      <c r="L56" s="54">
        <v>1</v>
      </c>
      <c r="M56" s="54" t="str">
        <f t="shared" si="2"/>
        <v/>
      </c>
      <c r="N56" s="54" t="str">
        <f t="shared" si="3"/>
        <v/>
      </c>
      <c r="O56" s="54">
        <f t="shared" si="5"/>
        <v>1</v>
      </c>
      <c r="P56" s="54">
        <f t="shared" si="4"/>
        <v>1</v>
      </c>
      <c r="Q56" s="54"/>
      <c r="R56" s="54" t="s">
        <v>47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9.8" x14ac:dyDescent="0.7">
      <c r="A57" s="53" t="str">
        <f t="shared" si="0"/>
        <v>PCAA00AA00EE00-0</v>
      </c>
      <c r="B57" s="53" t="str">
        <f t="shared" si="1"/>
        <v>Catchbox Plus System with 4 channel Hub DSP receiver 2 Cube incl chargers, Custom</v>
      </c>
      <c r="C57" s="60">
        <f>IF(F57="x",'Input for bundle selection'!$B$82,IF(G57="x",'Input for bundle selection'!$B$82+'Input for bundle selection'!$B$84,IF(H57="x",'Input for bundle selection'!$B$83,IF(I57="x",'Input for bundle selection'!$B$83+'Input for bundle selection'!$B$84,0))))+J57*'Input for bundle selection'!$B$85+K57*'Input for bundle selection'!$B$86+L57*'Input for bundle selection'!$B$87+IF(R57="x",SUM(J57:L57)*'Input for bundle selection'!$B$88,0)</f>
        <v>2549</v>
      </c>
      <c r="D57" s="54"/>
      <c r="E57" s="54" t="s">
        <v>47</v>
      </c>
      <c r="F57" s="54"/>
      <c r="G57" s="54"/>
      <c r="H57" s="54" t="s">
        <v>47</v>
      </c>
      <c r="I57" s="54"/>
      <c r="J57" s="54">
        <v>2</v>
      </c>
      <c r="K57" s="54"/>
      <c r="L57" s="54"/>
      <c r="M57" s="54">
        <f t="shared" si="2"/>
        <v>2</v>
      </c>
      <c r="N57" s="54" t="str">
        <f t="shared" si="3"/>
        <v/>
      </c>
      <c r="O57" s="54" t="str">
        <f t="shared" si="5"/>
        <v/>
      </c>
      <c r="P57" s="54" t="str">
        <f t="shared" si="4"/>
        <v/>
      </c>
      <c r="Q57" s="54"/>
      <c r="R57" s="54" t="s">
        <v>47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9.8" x14ac:dyDescent="0.7">
      <c r="A58" s="53" t="str">
        <f t="shared" si="0"/>
        <v>PCBB00C000JJ00-0</v>
      </c>
      <c r="B58" s="53" t="str">
        <f t="shared" si="1"/>
        <v>Catchbox Plus System with 4 channel Hub DSP receiver 2 Clip incl chargers, Custom</v>
      </c>
      <c r="C58" s="60">
        <f>IF(F58="x",'Input for bundle selection'!$B$82,IF(G58="x",'Input for bundle selection'!$B$82+'Input for bundle selection'!$B$84,IF(H58="x",'Input for bundle selection'!$B$83,IF(I58="x",'Input for bundle selection'!$B$83+'Input for bundle selection'!$B$84,0))))+J58*'Input for bundle selection'!$B$85+K58*'Input for bundle selection'!$B$86+L58*'Input for bundle selection'!$B$87+IF(R58="x",SUM(J58:L58)*'Input for bundle selection'!$B$88,0)</f>
        <v>2349</v>
      </c>
      <c r="D58" s="54"/>
      <c r="E58" s="54" t="s">
        <v>47</v>
      </c>
      <c r="F58" s="54"/>
      <c r="G58" s="54"/>
      <c r="H58" s="54" t="s">
        <v>47</v>
      </c>
      <c r="I58" s="54"/>
      <c r="J58" s="54"/>
      <c r="K58" s="54">
        <v>2</v>
      </c>
      <c r="L58" s="54"/>
      <c r="M58" s="54" t="str">
        <f t="shared" si="2"/>
        <v/>
      </c>
      <c r="N58" s="54" t="str">
        <f t="shared" si="3"/>
        <v/>
      </c>
      <c r="O58" s="54">
        <f t="shared" si="5"/>
        <v>1</v>
      </c>
      <c r="P58" s="54">
        <f t="shared" si="4"/>
        <v>1</v>
      </c>
      <c r="Q58" s="54"/>
      <c r="R58" s="54" t="s">
        <v>47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9.8" x14ac:dyDescent="0.7">
      <c r="A59" s="53" t="str">
        <f t="shared" si="0"/>
        <v>PCCC00C000OO00-0</v>
      </c>
      <c r="B59" s="53" t="str">
        <f t="shared" si="1"/>
        <v>Catchbox Plus System with 4 channel Hub DSP receiver 2 Stick incl chargers, Custom</v>
      </c>
      <c r="C59" s="60">
        <f>IF(F59="x",'Input for bundle selection'!$B$82,IF(G59="x",'Input for bundle selection'!$B$82+'Input for bundle selection'!$B$84,IF(H59="x",'Input for bundle selection'!$B$83,IF(I59="x",'Input for bundle selection'!$B$83+'Input for bundle selection'!$B$84,0))))+J59*'Input for bundle selection'!$B$85+K59*'Input for bundle selection'!$B$86+L59*'Input for bundle selection'!$B$87+IF(R59="x",SUM(J59:L59)*'Input for bundle selection'!$B$88,0)</f>
        <v>2449</v>
      </c>
      <c r="D59" s="54"/>
      <c r="E59" s="54" t="s">
        <v>47</v>
      </c>
      <c r="F59" s="54"/>
      <c r="G59" s="54"/>
      <c r="H59" s="54" t="s">
        <v>47</v>
      </c>
      <c r="I59" s="54"/>
      <c r="J59" s="54"/>
      <c r="K59" s="54"/>
      <c r="L59" s="54">
        <v>2</v>
      </c>
      <c r="M59" s="54" t="str">
        <f t="shared" si="2"/>
        <v/>
      </c>
      <c r="N59" s="54" t="str">
        <f t="shared" si="3"/>
        <v/>
      </c>
      <c r="O59" s="54">
        <f t="shared" si="5"/>
        <v>1</v>
      </c>
      <c r="P59" s="54">
        <f t="shared" si="4"/>
        <v>1</v>
      </c>
      <c r="Q59" s="54"/>
      <c r="R59" s="54" t="s">
        <v>47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9.8" x14ac:dyDescent="0.7">
      <c r="A60" s="53" t="str">
        <f t="shared" si="0"/>
        <v>PCABC0AC00AFK0-0</v>
      </c>
      <c r="B60" s="53" t="str">
        <f t="shared" si="1"/>
        <v>Catchbox Plus System with 4 channel Hub DSP receiver 1 Cube 1 Clip 1 Stick incl chargers, Standard - Red</v>
      </c>
      <c r="C60" s="60">
        <f>IF(F60="x",'Input for bundle selection'!$B$82,IF(G60="x",'Input for bundle selection'!$B$82+'Input for bundle selection'!$B$84,IF(H60="x",'Input for bundle selection'!$B$83,IF(I60="x",'Input for bundle selection'!$B$83+'Input for bundle selection'!$B$84,0))))+J60*'Input for bundle selection'!$B$85+K60*'Input for bundle selection'!$B$86+L60*'Input for bundle selection'!$B$87+IF(R60="x",SUM(J60:L60)*'Input for bundle selection'!$B$88,0)</f>
        <v>2849</v>
      </c>
      <c r="D60" s="54"/>
      <c r="E60" s="54" t="s">
        <v>47</v>
      </c>
      <c r="F60" s="54"/>
      <c r="G60" s="54"/>
      <c r="H60" s="54" t="s">
        <v>47</v>
      </c>
      <c r="I60" s="54"/>
      <c r="J60" s="54">
        <v>1</v>
      </c>
      <c r="K60" s="54">
        <v>1</v>
      </c>
      <c r="L60" s="54">
        <v>1</v>
      </c>
      <c r="M60" s="54">
        <f t="shared" si="2"/>
        <v>1</v>
      </c>
      <c r="N60" s="54" t="str">
        <f t="shared" si="3"/>
        <v/>
      </c>
      <c r="O60" s="54">
        <f t="shared" si="5"/>
        <v>1</v>
      </c>
      <c r="P60" s="54">
        <f t="shared" si="4"/>
        <v>1</v>
      </c>
      <c r="Q60" s="54" t="s">
        <v>47</v>
      </c>
      <c r="R60" s="54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9.8" x14ac:dyDescent="0.7">
      <c r="A61" s="53" t="str">
        <f t="shared" si="0"/>
        <v>PCAAB0AAB0AAF0-0</v>
      </c>
      <c r="B61" s="53" t="str">
        <f t="shared" si="1"/>
        <v>Catchbox Plus System with 4 channel Hub DSP receiver 2 Cube 1 Clip incl chargers, Standard - Red</v>
      </c>
      <c r="C61" s="60">
        <f>IF(F61="x",'Input for bundle selection'!$B$82,IF(G61="x",'Input for bundle selection'!$B$82+'Input for bundle selection'!$B$84,IF(H61="x",'Input for bundle selection'!$B$83,IF(I61="x",'Input for bundle selection'!$B$83+'Input for bundle selection'!$B$84,0))))+J61*'Input for bundle selection'!$B$85+K61*'Input for bundle selection'!$B$86+L61*'Input for bundle selection'!$B$87+IF(R61="x",SUM(J61:L61)*'Input for bundle selection'!$B$88,0)</f>
        <v>2899</v>
      </c>
      <c r="D61" s="54"/>
      <c r="E61" s="54" t="s">
        <v>47</v>
      </c>
      <c r="F61" s="54"/>
      <c r="G61" s="54"/>
      <c r="H61" s="54" t="s">
        <v>47</v>
      </c>
      <c r="I61" s="54"/>
      <c r="J61" s="54">
        <v>2</v>
      </c>
      <c r="K61" s="54">
        <v>1</v>
      </c>
      <c r="L61" s="54"/>
      <c r="M61" s="54">
        <f t="shared" si="2"/>
        <v>2</v>
      </c>
      <c r="N61" s="54">
        <f t="shared" si="3"/>
        <v>1</v>
      </c>
      <c r="O61" s="54" t="str">
        <f t="shared" si="5"/>
        <v/>
      </c>
      <c r="P61" s="54">
        <f t="shared" si="4"/>
        <v>1</v>
      </c>
      <c r="Q61" s="54" t="s">
        <v>47</v>
      </c>
      <c r="R61" s="5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9.8" x14ac:dyDescent="0.7">
      <c r="A62" s="53" t="str">
        <f t="shared" si="0"/>
        <v>PCABB0AC00AFF0-0</v>
      </c>
      <c r="B62" s="53" t="str">
        <f t="shared" si="1"/>
        <v>Catchbox Plus System with 4 channel Hub DSP receiver 1 Cube 2 Clip incl chargers, Standard - Red</v>
      </c>
      <c r="C62" s="60">
        <f>IF(F62="x",'Input for bundle selection'!$B$82,IF(G62="x",'Input for bundle selection'!$B$82+'Input for bundle selection'!$B$84,IF(H62="x",'Input for bundle selection'!$B$83,IF(I62="x",'Input for bundle selection'!$B$83+'Input for bundle selection'!$B$84,0))))+J62*'Input for bundle selection'!$B$85+K62*'Input for bundle selection'!$B$86+L62*'Input for bundle selection'!$B$87+IF(R62="x",SUM(J62:L62)*'Input for bundle selection'!$B$88,0)</f>
        <v>2799</v>
      </c>
      <c r="D62" s="54"/>
      <c r="E62" s="54" t="s">
        <v>47</v>
      </c>
      <c r="F62" s="54"/>
      <c r="G62" s="54"/>
      <c r="H62" s="54" t="s">
        <v>47</v>
      </c>
      <c r="I62" s="54"/>
      <c r="J62" s="54">
        <v>1</v>
      </c>
      <c r="K62" s="54">
        <v>2</v>
      </c>
      <c r="L62" s="54"/>
      <c r="M62" s="54">
        <f t="shared" si="2"/>
        <v>1</v>
      </c>
      <c r="N62" s="54" t="str">
        <f t="shared" si="3"/>
        <v/>
      </c>
      <c r="O62" s="54">
        <f t="shared" si="5"/>
        <v>1</v>
      </c>
      <c r="P62" s="54">
        <f t="shared" si="4"/>
        <v>1</v>
      </c>
      <c r="Q62" s="54" t="s">
        <v>47</v>
      </c>
      <c r="R62" s="54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9.8" x14ac:dyDescent="0.7">
      <c r="A63" s="53" t="str">
        <f t="shared" si="0"/>
        <v>PCACC0AC00AKK0-0</v>
      </c>
      <c r="B63" s="53" t="str">
        <f t="shared" si="1"/>
        <v>Catchbox Plus System with 4 channel Hub DSP receiver 1 Cube 2 Stick incl chargers, Standard - Red</v>
      </c>
      <c r="C63" s="60">
        <f>IF(F63="x",'Input for bundle selection'!$B$82,IF(G63="x",'Input for bundle selection'!$B$82+'Input for bundle selection'!$B$84,IF(H63="x",'Input for bundle selection'!$B$83,IF(I63="x",'Input for bundle selection'!$B$83+'Input for bundle selection'!$B$84,0))))+J63*'Input for bundle selection'!$B$85+K63*'Input for bundle selection'!$B$86+L63*'Input for bundle selection'!$B$87+IF(R63="x",SUM(J63:L63)*'Input for bundle selection'!$B$88,0)</f>
        <v>2899</v>
      </c>
      <c r="D63" s="54"/>
      <c r="E63" s="54" t="s">
        <v>47</v>
      </c>
      <c r="F63" s="54"/>
      <c r="G63" s="54"/>
      <c r="H63" s="54" t="s">
        <v>47</v>
      </c>
      <c r="I63" s="54"/>
      <c r="J63" s="54">
        <v>1</v>
      </c>
      <c r="K63" s="54"/>
      <c r="L63" s="54">
        <v>2</v>
      </c>
      <c r="M63" s="54">
        <f t="shared" si="2"/>
        <v>1</v>
      </c>
      <c r="N63" s="54" t="str">
        <f t="shared" si="3"/>
        <v/>
      </c>
      <c r="O63" s="54">
        <f t="shared" si="5"/>
        <v>1</v>
      </c>
      <c r="P63" s="54">
        <f t="shared" si="4"/>
        <v>1</v>
      </c>
      <c r="Q63" s="54" t="s">
        <v>47</v>
      </c>
      <c r="R63" s="5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9.8" x14ac:dyDescent="0.7">
      <c r="A64" s="53" t="str">
        <f t="shared" si="0"/>
        <v>PCAAC0AAB0AAK0-0</v>
      </c>
      <c r="B64" s="53" t="str">
        <f t="shared" si="1"/>
        <v>Catchbox Plus System with 4 channel Hub DSP receiver 2 Cube 1 Stick incl chargers, Standard - Red</v>
      </c>
      <c r="C64" s="60">
        <f>IF(F64="x",'Input for bundle selection'!$B$82,IF(G64="x",'Input for bundle selection'!$B$82+'Input for bundle selection'!$B$84,IF(H64="x",'Input for bundle selection'!$B$83,IF(I64="x",'Input for bundle selection'!$B$83+'Input for bundle selection'!$B$84,0))))+J64*'Input for bundle selection'!$B$85+K64*'Input for bundle selection'!$B$86+L64*'Input for bundle selection'!$B$87+IF(R64="x",SUM(J64:L64)*'Input for bundle selection'!$B$88,0)</f>
        <v>2949</v>
      </c>
      <c r="D64" s="54"/>
      <c r="E64" s="54" t="s">
        <v>47</v>
      </c>
      <c r="F64" s="54"/>
      <c r="G64" s="54"/>
      <c r="H64" s="54" t="s">
        <v>47</v>
      </c>
      <c r="I64" s="54"/>
      <c r="J64" s="54">
        <v>2</v>
      </c>
      <c r="K64" s="54"/>
      <c r="L64" s="54">
        <v>1</v>
      </c>
      <c r="M64" s="54">
        <f t="shared" si="2"/>
        <v>2</v>
      </c>
      <c r="N64" s="54">
        <f t="shared" si="3"/>
        <v>1</v>
      </c>
      <c r="O64" s="54" t="str">
        <f t="shared" si="5"/>
        <v/>
      </c>
      <c r="P64" s="54">
        <f t="shared" si="4"/>
        <v>1</v>
      </c>
      <c r="Q64" s="54" t="s">
        <v>47</v>
      </c>
      <c r="R64" s="5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9.8" x14ac:dyDescent="0.7">
      <c r="A65" s="53" t="str">
        <f t="shared" si="0"/>
        <v>PCBCC0BC00FKK0-0</v>
      </c>
      <c r="B65" s="53" t="str">
        <f t="shared" si="1"/>
        <v>Catchbox Plus System with 4 channel Hub DSP receiver 1 Clip 2 Stick incl chargers, Standard - Red</v>
      </c>
      <c r="C65" s="60">
        <f>IF(F65="x",'Input for bundle selection'!$B$82,IF(G65="x",'Input for bundle selection'!$B$82+'Input for bundle selection'!$B$84,IF(H65="x",'Input for bundle selection'!$B$83,IF(I65="x",'Input for bundle selection'!$B$83+'Input for bundle selection'!$B$84,0))))+J65*'Input for bundle selection'!$B$85+K65*'Input for bundle selection'!$B$86+L65*'Input for bundle selection'!$B$87+IF(R65="x",SUM(J65:L65)*'Input for bundle selection'!$B$88,0)</f>
        <v>2799</v>
      </c>
      <c r="D65" s="54"/>
      <c r="E65" s="54" t="s">
        <v>47</v>
      </c>
      <c r="F65" s="54"/>
      <c r="G65" s="54"/>
      <c r="H65" s="54" t="s">
        <v>47</v>
      </c>
      <c r="I65" s="54"/>
      <c r="J65" s="54"/>
      <c r="K65" s="54">
        <v>1</v>
      </c>
      <c r="L65" s="54">
        <v>2</v>
      </c>
      <c r="M65" s="54" t="str">
        <f t="shared" si="2"/>
        <v/>
      </c>
      <c r="N65" s="54">
        <f t="shared" si="3"/>
        <v>1</v>
      </c>
      <c r="O65" s="54">
        <f t="shared" si="5"/>
        <v>1</v>
      </c>
      <c r="P65" s="54">
        <f t="shared" si="4"/>
        <v>2</v>
      </c>
      <c r="Q65" s="54" t="s">
        <v>47</v>
      </c>
      <c r="R65" s="5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9.8" x14ac:dyDescent="0.7">
      <c r="A66" s="53" t="str">
        <f t="shared" si="0"/>
        <v>PCBBC0BC00FFK0-0</v>
      </c>
      <c r="B66" s="53" t="str">
        <f t="shared" si="1"/>
        <v>Catchbox Plus System with 4 channel Hub DSP receiver 2 Clip 1 Stick incl chargers, Standard - Red</v>
      </c>
      <c r="C66" s="60">
        <f>IF(F66="x",'Input for bundle selection'!$B$82,IF(G66="x",'Input for bundle selection'!$B$82+'Input for bundle selection'!$B$84,IF(H66="x",'Input for bundle selection'!$B$83,IF(I66="x",'Input for bundle selection'!$B$83+'Input for bundle selection'!$B$84,0))))+J66*'Input for bundle selection'!$B$85+K66*'Input for bundle selection'!$B$86+L66*'Input for bundle selection'!$B$87+IF(R66="x",SUM(J66:L66)*'Input for bundle selection'!$B$88,0)</f>
        <v>2749</v>
      </c>
      <c r="D66" s="54"/>
      <c r="E66" s="54" t="s">
        <v>47</v>
      </c>
      <c r="F66" s="54"/>
      <c r="G66" s="54"/>
      <c r="H66" s="54" t="s">
        <v>47</v>
      </c>
      <c r="I66" s="54"/>
      <c r="J66" s="54"/>
      <c r="K66" s="54">
        <v>2</v>
      </c>
      <c r="L66" s="54">
        <v>1</v>
      </c>
      <c r="M66" s="54" t="str">
        <f t="shared" si="2"/>
        <v/>
      </c>
      <c r="N66" s="54">
        <f t="shared" si="3"/>
        <v>1</v>
      </c>
      <c r="O66" s="54">
        <f t="shared" si="5"/>
        <v>1</v>
      </c>
      <c r="P66" s="54">
        <f t="shared" si="4"/>
        <v>2</v>
      </c>
      <c r="Q66" s="54" t="s">
        <v>47</v>
      </c>
      <c r="R66" s="54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9.8" x14ac:dyDescent="0.7">
      <c r="A67" s="53" t="str">
        <f t="shared" si="0"/>
        <v>PCAAA0AAA0AAA0-0</v>
      </c>
      <c r="B67" s="53" t="str">
        <f t="shared" si="1"/>
        <v>Catchbox Plus System with 4 channel Hub DSP receiver 3 Cube incl chargers, Standard - Red</v>
      </c>
      <c r="C67" s="60">
        <f>IF(F67="x",'Input for bundle selection'!$B$82,IF(G67="x",'Input for bundle selection'!$B$82+'Input for bundle selection'!$B$84,IF(H67="x",'Input for bundle selection'!$B$83,IF(I67="x",'Input for bundle selection'!$B$83+'Input for bundle selection'!$B$84,0))))+J67*'Input for bundle selection'!$B$85+K67*'Input for bundle selection'!$B$86+L67*'Input for bundle selection'!$B$87+IF(R67="x",SUM(J67:L67)*'Input for bundle selection'!$B$88,0)</f>
        <v>2999</v>
      </c>
      <c r="D67" s="54"/>
      <c r="E67" s="54" t="s">
        <v>47</v>
      </c>
      <c r="F67" s="54"/>
      <c r="G67" s="54"/>
      <c r="H67" s="54" t="s">
        <v>47</v>
      </c>
      <c r="I67" s="54"/>
      <c r="J67" s="54">
        <v>3</v>
      </c>
      <c r="K67" s="54"/>
      <c r="L67" s="54"/>
      <c r="M67" s="54">
        <f t="shared" si="2"/>
        <v>3</v>
      </c>
      <c r="N67" s="54" t="str">
        <f t="shared" si="3"/>
        <v/>
      </c>
      <c r="O67" s="54" t="str">
        <f t="shared" si="5"/>
        <v/>
      </c>
      <c r="P67" s="54" t="str">
        <f t="shared" si="4"/>
        <v/>
      </c>
      <c r="Q67" s="54" t="s">
        <v>47</v>
      </c>
      <c r="R67" s="5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9.8" x14ac:dyDescent="0.7">
      <c r="A68" s="53" t="str">
        <f t="shared" si="0"/>
        <v>PCBBB0BC00FFF0-0</v>
      </c>
      <c r="B68" s="53" t="str">
        <f t="shared" si="1"/>
        <v>Catchbox Plus System with 4 channel Hub DSP receiver 3 Clip incl chargers, Standard - Red</v>
      </c>
      <c r="C68" s="60">
        <f>IF(F68="x",'Input for bundle selection'!$B$82,IF(G68="x",'Input for bundle selection'!$B$82+'Input for bundle selection'!$B$84,IF(H68="x",'Input for bundle selection'!$B$83,IF(I68="x",'Input for bundle selection'!$B$83+'Input for bundle selection'!$B$84,0))))+J68*'Input for bundle selection'!$B$85+K68*'Input for bundle selection'!$B$86+L68*'Input for bundle selection'!$B$87+IF(R68="x",SUM(J68:L68)*'Input for bundle selection'!$B$88,0)</f>
        <v>2699</v>
      </c>
      <c r="D68" s="54"/>
      <c r="E68" s="54" t="s">
        <v>47</v>
      </c>
      <c r="F68" s="54"/>
      <c r="G68" s="54"/>
      <c r="H68" s="54" t="s">
        <v>47</v>
      </c>
      <c r="I68" s="54"/>
      <c r="J68" s="54"/>
      <c r="K68" s="54">
        <v>3</v>
      </c>
      <c r="L68" s="54"/>
      <c r="M68" s="54" t="str">
        <f t="shared" si="2"/>
        <v/>
      </c>
      <c r="N68" s="54">
        <f t="shared" si="3"/>
        <v>1</v>
      </c>
      <c r="O68" s="54">
        <f t="shared" si="5"/>
        <v>1</v>
      </c>
      <c r="P68" s="54">
        <f t="shared" si="4"/>
        <v>2</v>
      </c>
      <c r="Q68" s="54" t="s">
        <v>47</v>
      </c>
      <c r="R68" s="5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9.8" x14ac:dyDescent="0.7">
      <c r="A69" s="53" t="str">
        <f t="shared" si="0"/>
        <v>PCCCC0BC00KKK0-0</v>
      </c>
      <c r="B69" s="53" t="str">
        <f t="shared" si="1"/>
        <v>Catchbox Plus System with 4 channel Hub DSP receiver 3 Stick incl chargers, Standard - Red</v>
      </c>
      <c r="C69" s="60">
        <f>IF(F69="x",'Input for bundle selection'!$B$82,IF(G69="x",'Input for bundle selection'!$B$82+'Input for bundle selection'!$B$84,IF(H69="x",'Input for bundle selection'!$B$83,IF(I69="x",'Input for bundle selection'!$B$83+'Input for bundle selection'!$B$84,0))))+J69*'Input for bundle selection'!$B$85+K69*'Input for bundle selection'!$B$86+L69*'Input for bundle selection'!$B$87+IF(R69="x",SUM(J69:L69)*'Input for bundle selection'!$B$88,0)</f>
        <v>2849</v>
      </c>
      <c r="D69" s="54"/>
      <c r="E69" s="54" t="s">
        <v>47</v>
      </c>
      <c r="F69" s="54"/>
      <c r="G69" s="54"/>
      <c r="H69" s="54" t="s">
        <v>47</v>
      </c>
      <c r="I69" s="54"/>
      <c r="J69" s="54"/>
      <c r="K69" s="54"/>
      <c r="L69" s="54">
        <v>3</v>
      </c>
      <c r="M69" s="54" t="str">
        <f t="shared" si="2"/>
        <v/>
      </c>
      <c r="N69" s="54">
        <f t="shared" si="3"/>
        <v>1</v>
      </c>
      <c r="O69" s="54">
        <f t="shared" si="5"/>
        <v>1</v>
      </c>
      <c r="P69" s="54">
        <f t="shared" si="4"/>
        <v>2</v>
      </c>
      <c r="Q69" s="54" t="s">
        <v>47</v>
      </c>
      <c r="R69" s="5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19.8" x14ac:dyDescent="0.7">
      <c r="A70" s="53" t="str">
        <f t="shared" si="0"/>
        <v>PCABC0AC00EJO0-0</v>
      </c>
      <c r="B70" s="53" t="str">
        <f t="shared" si="1"/>
        <v>Catchbox Plus System with 4 channel Hub DSP receiver 1 Cube 1 Clip 1 Stick incl chargers, Custom</v>
      </c>
      <c r="C70" s="60">
        <f>IF(F70="x",'Input for bundle selection'!$B$82,IF(G70="x",'Input for bundle selection'!$B$82+'Input for bundle selection'!$B$84,IF(H70="x",'Input for bundle selection'!$B$83,IF(I70="x",'Input for bundle selection'!$B$83+'Input for bundle selection'!$B$84,0))))+J70*'Input for bundle selection'!$B$85+K70*'Input for bundle selection'!$B$86+L70*'Input for bundle selection'!$B$87+IF(R70="x",SUM(J70:L70)*'Input for bundle selection'!$B$88,0)</f>
        <v>2999</v>
      </c>
      <c r="D70" s="54"/>
      <c r="E70" s="54" t="s">
        <v>47</v>
      </c>
      <c r="F70" s="54"/>
      <c r="G70" s="54"/>
      <c r="H70" s="54" t="s">
        <v>47</v>
      </c>
      <c r="I70" s="54"/>
      <c r="J70" s="54">
        <v>1</v>
      </c>
      <c r="K70" s="54">
        <v>1</v>
      </c>
      <c r="L70" s="54">
        <v>1</v>
      </c>
      <c r="M70" s="54">
        <f t="shared" si="2"/>
        <v>1</v>
      </c>
      <c r="N70" s="54" t="str">
        <f t="shared" si="3"/>
        <v/>
      </c>
      <c r="O70" s="54">
        <f t="shared" si="5"/>
        <v>1</v>
      </c>
      <c r="P70" s="54">
        <f t="shared" si="4"/>
        <v>1</v>
      </c>
      <c r="Q70" s="54"/>
      <c r="R70" s="54" t="s">
        <v>47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19.8" x14ac:dyDescent="0.7">
      <c r="A71" s="53" t="str">
        <f t="shared" si="0"/>
        <v>PCAAB0AAB0EEJ0-0</v>
      </c>
      <c r="B71" s="53" t="str">
        <f t="shared" si="1"/>
        <v>Catchbox Plus System with 4 channel Hub DSP receiver 2 Cube 1 Clip incl chargers, Custom</v>
      </c>
      <c r="C71" s="60">
        <f>IF(F71="x",'Input for bundle selection'!$B$82,IF(G71="x",'Input for bundle selection'!$B$82+'Input for bundle selection'!$B$84,IF(H71="x",'Input for bundle selection'!$B$83,IF(I71="x",'Input for bundle selection'!$B$83+'Input for bundle selection'!$B$84,0))))+J71*'Input for bundle selection'!$B$85+K71*'Input for bundle selection'!$B$86+L71*'Input for bundle selection'!$B$87+IF(R71="x",SUM(J71:L71)*'Input for bundle selection'!$B$88,0)</f>
        <v>3049</v>
      </c>
      <c r="D71" s="54"/>
      <c r="E71" s="54" t="s">
        <v>47</v>
      </c>
      <c r="F71" s="54"/>
      <c r="G71" s="54"/>
      <c r="H71" s="54" t="s">
        <v>47</v>
      </c>
      <c r="I71" s="54"/>
      <c r="J71" s="54">
        <v>2</v>
      </c>
      <c r="K71" s="54">
        <v>1</v>
      </c>
      <c r="L71" s="54"/>
      <c r="M71" s="54">
        <f t="shared" si="2"/>
        <v>2</v>
      </c>
      <c r="N71" s="54">
        <f t="shared" si="3"/>
        <v>1</v>
      </c>
      <c r="O71" s="54" t="str">
        <f t="shared" ref="O71:O134" si="6">IF(OR(SUM(K71:L71)=2,SUM(K71:L71)=4),SUM(K71:L71)/2,IF(SUM(K71:L71)=3,1,""))</f>
        <v/>
      </c>
      <c r="P71" s="54">
        <f t="shared" si="4"/>
        <v>1</v>
      </c>
      <c r="Q71" s="54"/>
      <c r="R71" s="54" t="s">
        <v>47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9.8" x14ac:dyDescent="0.7">
      <c r="A72" s="53" t="str">
        <f t="shared" si="0"/>
        <v>PCABB0AC00EJJ0-0</v>
      </c>
      <c r="B72" s="53" t="str">
        <f t="shared" si="1"/>
        <v>Catchbox Plus System with 4 channel Hub DSP receiver 1 Cube 2 Clip incl chargers, Custom</v>
      </c>
      <c r="C72" s="60">
        <f>IF(F72="x",'Input for bundle selection'!$B$82,IF(G72="x",'Input for bundle selection'!$B$82+'Input for bundle selection'!$B$84,IF(H72="x",'Input for bundle selection'!$B$83,IF(I72="x",'Input for bundle selection'!$B$83+'Input for bundle selection'!$B$84,0))))+J72*'Input for bundle selection'!$B$85+K72*'Input for bundle selection'!$B$86+L72*'Input for bundle selection'!$B$87+IF(R72="x",SUM(J72:L72)*'Input for bundle selection'!$B$88,0)</f>
        <v>2949</v>
      </c>
      <c r="D72" s="54"/>
      <c r="E72" s="54" t="s">
        <v>47</v>
      </c>
      <c r="F72" s="54"/>
      <c r="G72" s="54"/>
      <c r="H72" s="54" t="s">
        <v>47</v>
      </c>
      <c r="I72" s="54"/>
      <c r="J72" s="54">
        <v>1</v>
      </c>
      <c r="K72" s="54">
        <v>2</v>
      </c>
      <c r="L72" s="54"/>
      <c r="M72" s="54">
        <f t="shared" si="2"/>
        <v>1</v>
      </c>
      <c r="N72" s="54" t="str">
        <f t="shared" si="3"/>
        <v/>
      </c>
      <c r="O72" s="54">
        <f t="shared" si="6"/>
        <v>1</v>
      </c>
      <c r="P72" s="54">
        <f t="shared" si="4"/>
        <v>1</v>
      </c>
      <c r="Q72" s="54"/>
      <c r="R72" s="54" t="s">
        <v>47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9.8" x14ac:dyDescent="0.7">
      <c r="A73" s="53" t="str">
        <f t="shared" si="0"/>
        <v>PCACC0AC00EOO0-0</v>
      </c>
      <c r="B73" s="53" t="str">
        <f t="shared" si="1"/>
        <v>Catchbox Plus System with 4 channel Hub DSP receiver 1 Cube 2 Stick incl chargers, Custom</v>
      </c>
      <c r="C73" s="60">
        <f>IF(F73="x",'Input for bundle selection'!$B$82,IF(G73="x",'Input for bundle selection'!$B$82+'Input for bundle selection'!$B$84,IF(H73="x",'Input for bundle selection'!$B$83,IF(I73="x",'Input for bundle selection'!$B$83+'Input for bundle selection'!$B$84,0))))+J73*'Input for bundle selection'!$B$85+K73*'Input for bundle selection'!$B$86+L73*'Input for bundle selection'!$B$87+IF(R73="x",SUM(J73:L73)*'Input for bundle selection'!$B$88,0)</f>
        <v>3049</v>
      </c>
      <c r="D73" s="54"/>
      <c r="E73" s="54" t="s">
        <v>47</v>
      </c>
      <c r="F73" s="54"/>
      <c r="G73" s="54"/>
      <c r="H73" s="54" t="s">
        <v>47</v>
      </c>
      <c r="I73" s="54"/>
      <c r="J73" s="54">
        <v>1</v>
      </c>
      <c r="K73" s="54"/>
      <c r="L73" s="54">
        <v>2</v>
      </c>
      <c r="M73" s="54">
        <f t="shared" si="2"/>
        <v>1</v>
      </c>
      <c r="N73" s="54" t="str">
        <f t="shared" si="3"/>
        <v/>
      </c>
      <c r="O73" s="54">
        <f t="shared" si="6"/>
        <v>1</v>
      </c>
      <c r="P73" s="54">
        <f t="shared" si="4"/>
        <v>1</v>
      </c>
      <c r="Q73" s="54"/>
      <c r="R73" s="54" t="s">
        <v>47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9.8" x14ac:dyDescent="0.7">
      <c r="A74" s="53" t="str">
        <f t="shared" si="0"/>
        <v>PCAAC0AAB0EEO0-0</v>
      </c>
      <c r="B74" s="53" t="str">
        <f t="shared" si="1"/>
        <v>Catchbox Plus System with 4 channel Hub DSP receiver 2 Cube 1 Stick incl chargers, Custom</v>
      </c>
      <c r="C74" s="60">
        <f>IF(F74="x",'Input for bundle selection'!$B$82,IF(G74="x",'Input for bundle selection'!$B$82+'Input for bundle selection'!$B$84,IF(H74="x",'Input for bundle selection'!$B$83,IF(I74="x",'Input for bundle selection'!$B$83+'Input for bundle selection'!$B$84,0))))+J74*'Input for bundle selection'!$B$85+K74*'Input for bundle selection'!$B$86+L74*'Input for bundle selection'!$B$87+IF(R74="x",SUM(J74:L74)*'Input for bundle selection'!$B$88,0)</f>
        <v>3099</v>
      </c>
      <c r="D74" s="54"/>
      <c r="E74" s="54" t="s">
        <v>47</v>
      </c>
      <c r="F74" s="54"/>
      <c r="G74" s="54"/>
      <c r="H74" s="54" t="s">
        <v>47</v>
      </c>
      <c r="I74" s="54"/>
      <c r="J74" s="54">
        <v>2</v>
      </c>
      <c r="K74" s="54"/>
      <c r="L74" s="54">
        <v>1</v>
      </c>
      <c r="M74" s="54">
        <f t="shared" si="2"/>
        <v>2</v>
      </c>
      <c r="N74" s="54">
        <f t="shared" si="3"/>
        <v>1</v>
      </c>
      <c r="O74" s="54" t="str">
        <f t="shared" si="6"/>
        <v/>
      </c>
      <c r="P74" s="54">
        <f t="shared" si="4"/>
        <v>1</v>
      </c>
      <c r="Q74" s="54"/>
      <c r="R74" s="54" t="s">
        <v>47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9.8" x14ac:dyDescent="0.7">
      <c r="A75" s="53" t="str">
        <f t="shared" si="0"/>
        <v>PCBCC0BC00JOO0-0</v>
      </c>
      <c r="B75" s="53" t="str">
        <f t="shared" si="1"/>
        <v>Catchbox Plus System with 4 channel Hub DSP receiver 1 Clip 2 Stick incl chargers, Custom</v>
      </c>
      <c r="C75" s="60">
        <f>IF(F75="x",'Input for bundle selection'!$B$82,IF(G75="x",'Input for bundle selection'!$B$82+'Input for bundle selection'!$B$84,IF(H75="x",'Input for bundle selection'!$B$83,IF(I75="x",'Input for bundle selection'!$B$83+'Input for bundle selection'!$B$84,0))))+J75*'Input for bundle selection'!$B$85+K75*'Input for bundle selection'!$B$86+L75*'Input for bundle selection'!$B$87+IF(R75="x",SUM(J75:L75)*'Input for bundle selection'!$B$88,0)</f>
        <v>2949</v>
      </c>
      <c r="D75" s="54"/>
      <c r="E75" s="54" t="s">
        <v>47</v>
      </c>
      <c r="F75" s="54"/>
      <c r="G75" s="54"/>
      <c r="H75" s="54" t="s">
        <v>47</v>
      </c>
      <c r="I75" s="54"/>
      <c r="J75" s="54"/>
      <c r="K75" s="54">
        <v>1</v>
      </c>
      <c r="L75" s="54">
        <v>2</v>
      </c>
      <c r="M75" s="54" t="str">
        <f t="shared" si="2"/>
        <v/>
      </c>
      <c r="N75" s="54">
        <f t="shared" si="3"/>
        <v>1</v>
      </c>
      <c r="O75" s="54">
        <f t="shared" si="6"/>
        <v>1</v>
      </c>
      <c r="P75" s="54">
        <f t="shared" si="4"/>
        <v>2</v>
      </c>
      <c r="Q75" s="54"/>
      <c r="R75" s="54" t="s">
        <v>47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9.8" x14ac:dyDescent="0.7">
      <c r="A76" s="53" t="str">
        <f t="shared" si="0"/>
        <v>PCBBC0BC00JJO0-0</v>
      </c>
      <c r="B76" s="53" t="str">
        <f t="shared" si="1"/>
        <v>Catchbox Plus System with 4 channel Hub DSP receiver 2 Clip 1 Stick incl chargers, Custom</v>
      </c>
      <c r="C76" s="60">
        <f>IF(F76="x",'Input for bundle selection'!$B$82,IF(G76="x",'Input for bundle selection'!$B$82+'Input for bundle selection'!$B$84,IF(H76="x",'Input for bundle selection'!$B$83,IF(I76="x",'Input for bundle selection'!$B$83+'Input for bundle selection'!$B$84,0))))+J76*'Input for bundle selection'!$B$85+K76*'Input for bundle selection'!$B$86+L76*'Input for bundle selection'!$B$87+IF(R76="x",SUM(J76:L76)*'Input for bundle selection'!$B$88,0)</f>
        <v>2899</v>
      </c>
      <c r="D76" s="54"/>
      <c r="E76" s="54" t="s">
        <v>47</v>
      </c>
      <c r="F76" s="54"/>
      <c r="G76" s="54"/>
      <c r="H76" s="54" t="s">
        <v>47</v>
      </c>
      <c r="I76" s="54"/>
      <c r="J76" s="54"/>
      <c r="K76" s="54">
        <v>2</v>
      </c>
      <c r="L76" s="54">
        <v>1</v>
      </c>
      <c r="M76" s="54" t="str">
        <f t="shared" si="2"/>
        <v/>
      </c>
      <c r="N76" s="54">
        <f t="shared" si="3"/>
        <v>1</v>
      </c>
      <c r="O76" s="54">
        <f t="shared" si="6"/>
        <v>1</v>
      </c>
      <c r="P76" s="54">
        <f t="shared" si="4"/>
        <v>2</v>
      </c>
      <c r="Q76" s="54"/>
      <c r="R76" s="54" t="s">
        <v>47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9.8" x14ac:dyDescent="0.7">
      <c r="A77" s="53" t="str">
        <f t="shared" si="0"/>
        <v>PCAAA0AAA0EEE0-0</v>
      </c>
      <c r="B77" s="53" t="str">
        <f t="shared" si="1"/>
        <v>Catchbox Plus System with 4 channel Hub DSP receiver 3 Cube incl chargers, Custom</v>
      </c>
      <c r="C77" s="60">
        <f>IF(F77="x",'Input for bundle selection'!$B$82,IF(G77="x",'Input for bundle selection'!$B$82+'Input for bundle selection'!$B$84,IF(H77="x",'Input for bundle selection'!$B$83,IF(I77="x",'Input for bundle selection'!$B$83+'Input for bundle selection'!$B$84,0))))+J77*'Input for bundle selection'!$B$85+K77*'Input for bundle selection'!$B$86+L77*'Input for bundle selection'!$B$87+IF(R77="x",SUM(J77:L77)*'Input for bundle selection'!$B$88,0)</f>
        <v>3149</v>
      </c>
      <c r="D77" s="54"/>
      <c r="E77" s="54" t="s">
        <v>47</v>
      </c>
      <c r="F77" s="54"/>
      <c r="G77" s="54"/>
      <c r="H77" s="54" t="s">
        <v>47</v>
      </c>
      <c r="I77" s="54"/>
      <c r="J77" s="54">
        <v>3</v>
      </c>
      <c r="K77" s="54"/>
      <c r="L77" s="54"/>
      <c r="M77" s="54">
        <f t="shared" si="2"/>
        <v>3</v>
      </c>
      <c r="N77" s="54" t="str">
        <f t="shared" si="3"/>
        <v/>
      </c>
      <c r="O77" s="54" t="str">
        <f t="shared" si="6"/>
        <v/>
      </c>
      <c r="P77" s="54" t="str">
        <f t="shared" si="4"/>
        <v/>
      </c>
      <c r="Q77" s="54"/>
      <c r="R77" s="54" t="s">
        <v>47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9.8" x14ac:dyDescent="0.7">
      <c r="A78" s="53" t="str">
        <f t="shared" si="0"/>
        <v>PCBBB0BC00JJJ0-0</v>
      </c>
      <c r="B78" s="53" t="str">
        <f t="shared" si="1"/>
        <v>Catchbox Plus System with 4 channel Hub DSP receiver 3 Clip incl chargers, Custom</v>
      </c>
      <c r="C78" s="60">
        <f>IF(F78="x",'Input for bundle selection'!$B$82,IF(G78="x",'Input for bundle selection'!$B$82+'Input for bundle selection'!$B$84,IF(H78="x",'Input for bundle selection'!$B$83,IF(I78="x",'Input for bundle selection'!$B$83+'Input for bundle selection'!$B$84,0))))+J78*'Input for bundle selection'!$B$85+K78*'Input for bundle selection'!$B$86+L78*'Input for bundle selection'!$B$87+IF(R78="x",SUM(J78:L78)*'Input for bundle selection'!$B$88,0)</f>
        <v>2849</v>
      </c>
      <c r="D78" s="54"/>
      <c r="E78" s="54" t="s">
        <v>47</v>
      </c>
      <c r="F78" s="54"/>
      <c r="G78" s="54"/>
      <c r="H78" s="54" t="s">
        <v>47</v>
      </c>
      <c r="I78" s="54"/>
      <c r="J78" s="54"/>
      <c r="K78" s="54">
        <v>3</v>
      </c>
      <c r="L78" s="54"/>
      <c r="M78" s="54" t="str">
        <f t="shared" si="2"/>
        <v/>
      </c>
      <c r="N78" s="54">
        <f t="shared" si="3"/>
        <v>1</v>
      </c>
      <c r="O78" s="54">
        <f t="shared" si="6"/>
        <v>1</v>
      </c>
      <c r="P78" s="54">
        <f t="shared" si="4"/>
        <v>2</v>
      </c>
      <c r="Q78" s="54"/>
      <c r="R78" s="54" t="s">
        <v>47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9.8" x14ac:dyDescent="0.7">
      <c r="A79" s="53" t="str">
        <f t="shared" si="0"/>
        <v>PCCCC0BC00OOO0-0</v>
      </c>
      <c r="B79" s="53" t="str">
        <f t="shared" si="1"/>
        <v>Catchbox Plus System with 4 channel Hub DSP receiver 3 Stick incl chargers, Custom</v>
      </c>
      <c r="C79" s="60">
        <f>IF(F79="x",'Input for bundle selection'!$B$82,IF(G79="x",'Input for bundle selection'!$B$82+'Input for bundle selection'!$B$84,IF(H79="x",'Input for bundle selection'!$B$83,IF(I79="x",'Input for bundle selection'!$B$83+'Input for bundle selection'!$B$84,0))))+J79*'Input for bundle selection'!$B$85+K79*'Input for bundle selection'!$B$86+L79*'Input for bundle selection'!$B$87+IF(R79="x",SUM(J79:L79)*'Input for bundle selection'!$B$88,0)</f>
        <v>2999</v>
      </c>
      <c r="D79" s="54"/>
      <c r="E79" s="54" t="s">
        <v>47</v>
      </c>
      <c r="F79" s="54"/>
      <c r="G79" s="54"/>
      <c r="H79" s="54" t="s">
        <v>47</v>
      </c>
      <c r="I79" s="54"/>
      <c r="J79" s="54"/>
      <c r="K79" s="54"/>
      <c r="L79" s="54">
        <v>3</v>
      </c>
      <c r="M79" s="54" t="str">
        <f t="shared" si="2"/>
        <v/>
      </c>
      <c r="N79" s="54">
        <f t="shared" si="3"/>
        <v>1</v>
      </c>
      <c r="O79" s="54">
        <f t="shared" si="6"/>
        <v>1</v>
      </c>
      <c r="P79" s="54">
        <f t="shared" si="4"/>
        <v>2</v>
      </c>
      <c r="Q79" s="54"/>
      <c r="R79" s="54" t="s">
        <v>47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9.8" x14ac:dyDescent="0.7">
      <c r="A80" s="53" t="str">
        <f t="shared" si="0"/>
        <v>PCABCCABC0AFKK-0</v>
      </c>
      <c r="B80" s="53" t="str">
        <f t="shared" si="1"/>
        <v>Catchbox Plus System with 4 channel Hub DSP receiver 1 Cube 1 Clip 2 Stick incl chargers, Standard - Red</v>
      </c>
      <c r="C80" s="60">
        <f>IF(F80="x",'Input for bundle selection'!$B$82,IF(G80="x",'Input for bundle selection'!$B$82+'Input for bundle selection'!$B$84,IF(H80="x",'Input for bundle selection'!$B$83,IF(I80="x",'Input for bundle selection'!$B$83+'Input for bundle selection'!$B$84,0))))+J80*'Input for bundle selection'!$B$85+K80*'Input for bundle selection'!$B$86+L80*'Input for bundle selection'!$B$87+IF(R80="x",SUM(J80:L80)*'Input for bundle selection'!$B$88,0)</f>
        <v>3349</v>
      </c>
      <c r="D80" s="54"/>
      <c r="E80" s="54" t="s">
        <v>47</v>
      </c>
      <c r="F80" s="54"/>
      <c r="G80" s="54"/>
      <c r="H80" s="54" t="s">
        <v>47</v>
      </c>
      <c r="I80" s="54"/>
      <c r="J80" s="54">
        <v>1</v>
      </c>
      <c r="K80" s="54">
        <v>1</v>
      </c>
      <c r="L80" s="54">
        <v>2</v>
      </c>
      <c r="M80" s="54">
        <f t="shared" si="2"/>
        <v>1</v>
      </c>
      <c r="N80" s="54">
        <f t="shared" si="3"/>
        <v>1</v>
      </c>
      <c r="O80" s="54">
        <f t="shared" si="6"/>
        <v>1</v>
      </c>
      <c r="P80" s="54">
        <f t="shared" si="4"/>
        <v>2</v>
      </c>
      <c r="Q80" s="54" t="s">
        <v>47</v>
      </c>
      <c r="R80" s="54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9.8" x14ac:dyDescent="0.7">
      <c r="A81" s="53" t="str">
        <f t="shared" si="0"/>
        <v>PCABBCABC0AFFK-0</v>
      </c>
      <c r="B81" s="53" t="str">
        <f t="shared" si="1"/>
        <v>Catchbox Plus System with 4 channel Hub DSP receiver 1 Cube 2 Clip 1 Stick incl chargers, Standard - Red</v>
      </c>
      <c r="C81" s="60">
        <f>IF(F81="x",'Input for bundle selection'!$B$82,IF(G81="x",'Input for bundle selection'!$B$82+'Input for bundle selection'!$B$84,IF(H81="x",'Input for bundle selection'!$B$83,IF(I81="x",'Input for bundle selection'!$B$83+'Input for bundle selection'!$B$84,0))))+J81*'Input for bundle selection'!$B$85+K81*'Input for bundle selection'!$B$86+L81*'Input for bundle selection'!$B$87+IF(R81="x",SUM(J81:L81)*'Input for bundle selection'!$B$88,0)</f>
        <v>3299</v>
      </c>
      <c r="D81" s="54"/>
      <c r="E81" s="54" t="s">
        <v>47</v>
      </c>
      <c r="F81" s="54"/>
      <c r="G81" s="54"/>
      <c r="H81" s="54" t="s">
        <v>47</v>
      </c>
      <c r="I81" s="54"/>
      <c r="J81" s="54">
        <v>1</v>
      </c>
      <c r="K81" s="54">
        <v>2</v>
      </c>
      <c r="L81" s="54">
        <v>1</v>
      </c>
      <c r="M81" s="54">
        <f t="shared" si="2"/>
        <v>1</v>
      </c>
      <c r="N81" s="54">
        <f t="shared" si="3"/>
        <v>1</v>
      </c>
      <c r="O81" s="54">
        <f t="shared" si="6"/>
        <v>1</v>
      </c>
      <c r="P81" s="54">
        <f t="shared" si="4"/>
        <v>2</v>
      </c>
      <c r="Q81" s="54" t="s">
        <v>47</v>
      </c>
      <c r="R81" s="54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9.8" x14ac:dyDescent="0.7">
      <c r="A82" s="53" t="str">
        <f t="shared" si="0"/>
        <v>PCBBCCCC00FFKK-0</v>
      </c>
      <c r="B82" s="53" t="str">
        <f t="shared" si="1"/>
        <v>Catchbox Plus System with 4 channel Hub DSP receiver 2 Clip 2 Stick incl chargers, Standard - Red</v>
      </c>
      <c r="C82" s="60">
        <f>IF(F82="x",'Input for bundle selection'!$B$82,IF(G82="x",'Input for bundle selection'!$B$82+'Input for bundle selection'!$B$84,IF(H82="x",'Input for bundle selection'!$B$83,IF(I82="x",'Input for bundle selection'!$B$83+'Input for bundle selection'!$B$84,0))))+J82*'Input for bundle selection'!$B$85+K82*'Input for bundle selection'!$B$86+L82*'Input for bundle selection'!$B$87+IF(R82="x",SUM(J82:L82)*'Input for bundle selection'!$B$88,0)</f>
        <v>3249</v>
      </c>
      <c r="D82" s="54"/>
      <c r="E82" s="54" t="s">
        <v>47</v>
      </c>
      <c r="F82" s="54"/>
      <c r="G82" s="54"/>
      <c r="H82" s="54" t="s">
        <v>47</v>
      </c>
      <c r="I82" s="54"/>
      <c r="J82" s="54"/>
      <c r="K82" s="54">
        <v>2</v>
      </c>
      <c r="L82" s="54">
        <v>2</v>
      </c>
      <c r="M82" s="54" t="str">
        <f t="shared" si="2"/>
        <v/>
      </c>
      <c r="N82" s="54" t="str">
        <f t="shared" si="3"/>
        <v/>
      </c>
      <c r="O82" s="54">
        <f t="shared" si="6"/>
        <v>2</v>
      </c>
      <c r="P82" s="54">
        <f t="shared" si="4"/>
        <v>2</v>
      </c>
      <c r="Q82" s="54" t="s">
        <v>47</v>
      </c>
      <c r="R82" s="54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4.25" customHeight="1" x14ac:dyDescent="0.7">
      <c r="A83" s="53" t="str">
        <f t="shared" si="0"/>
        <v>PCAAABAAABAAAF-0</v>
      </c>
      <c r="B83" s="53" t="str">
        <f t="shared" si="1"/>
        <v>Catchbox Plus System with 4 channel Hub DSP receiver 3 Cube 1 Clip incl chargers, Standard - Red</v>
      </c>
      <c r="C83" s="60">
        <f>IF(F83="x",'Input for bundle selection'!$B$82,IF(G83="x",'Input for bundle selection'!$B$82+'Input for bundle selection'!$B$84,IF(H83="x",'Input for bundle selection'!$B$83,IF(I83="x",'Input for bundle selection'!$B$83+'Input for bundle selection'!$B$84,0))))+J83*'Input for bundle selection'!$B$85+K83*'Input for bundle selection'!$B$86+L83*'Input for bundle selection'!$B$87+IF(R83="x",SUM(J83:L83)*'Input for bundle selection'!$B$88,0)</f>
        <v>3449</v>
      </c>
      <c r="D83" s="54"/>
      <c r="E83" s="54" t="s">
        <v>47</v>
      </c>
      <c r="F83" s="54"/>
      <c r="G83" s="54"/>
      <c r="H83" s="54" t="s">
        <v>47</v>
      </c>
      <c r="I83" s="54"/>
      <c r="J83" s="54">
        <v>3</v>
      </c>
      <c r="K83" s="54">
        <v>1</v>
      </c>
      <c r="L83" s="54"/>
      <c r="M83" s="54">
        <f t="shared" si="2"/>
        <v>3</v>
      </c>
      <c r="N83" s="54">
        <f t="shared" si="3"/>
        <v>1</v>
      </c>
      <c r="O83" s="54" t="str">
        <f t="shared" si="6"/>
        <v/>
      </c>
      <c r="P83" s="54">
        <f t="shared" si="4"/>
        <v>1</v>
      </c>
      <c r="Q83" s="54" t="s">
        <v>47</v>
      </c>
      <c r="R83" s="54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5.75" customHeight="1" x14ac:dyDescent="0.7">
      <c r="A84" s="53" t="str">
        <f t="shared" si="0"/>
        <v>PCAAACAAABAAAK-0</v>
      </c>
      <c r="B84" s="53" t="str">
        <f t="shared" si="1"/>
        <v>Catchbox Plus System with 4 channel Hub DSP receiver 3 Cube 1 Stick incl chargers, Standard - Red</v>
      </c>
      <c r="C84" s="60">
        <f>IF(F84="x",'Input for bundle selection'!$B$82,IF(G84="x",'Input for bundle selection'!$B$82+'Input for bundle selection'!$B$84,IF(H84="x",'Input for bundle selection'!$B$83,IF(I84="x",'Input for bundle selection'!$B$83+'Input for bundle selection'!$B$84,0))))+J84*'Input for bundle selection'!$B$85+K84*'Input for bundle selection'!$B$86+L84*'Input for bundle selection'!$B$87+IF(R84="x",SUM(J84:L84)*'Input for bundle selection'!$B$88,0)</f>
        <v>3499</v>
      </c>
      <c r="D84" s="54"/>
      <c r="E84" s="54" t="s">
        <v>47</v>
      </c>
      <c r="F84" s="54"/>
      <c r="G84" s="54"/>
      <c r="H84" s="54" t="s">
        <v>47</v>
      </c>
      <c r="I84" s="54"/>
      <c r="J84" s="54">
        <v>3</v>
      </c>
      <c r="K84" s="54"/>
      <c r="L84" s="54">
        <v>1</v>
      </c>
      <c r="M84" s="54">
        <f t="shared" si="2"/>
        <v>3</v>
      </c>
      <c r="N84" s="54">
        <f t="shared" si="3"/>
        <v>1</v>
      </c>
      <c r="O84" s="54" t="str">
        <f t="shared" si="6"/>
        <v/>
      </c>
      <c r="P84" s="54">
        <f t="shared" si="4"/>
        <v>1</v>
      </c>
      <c r="Q84" s="54" t="s">
        <v>47</v>
      </c>
      <c r="R84" s="54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9.8" x14ac:dyDescent="0.7">
      <c r="A85" s="53" t="str">
        <f t="shared" si="0"/>
        <v>PCABBBABC0AFFF-0</v>
      </c>
      <c r="B85" s="53" t="str">
        <f t="shared" si="1"/>
        <v>Catchbox Plus System with 4 channel Hub DSP receiver 1 Cube 3 Clip incl chargers, Standard - Red</v>
      </c>
      <c r="C85" s="60">
        <f>IF(F85="x",'Input for bundle selection'!$B$82,IF(G85="x",'Input for bundle selection'!$B$82+'Input for bundle selection'!$B$84,IF(H85="x",'Input for bundle selection'!$B$83,IF(I85="x",'Input for bundle selection'!$B$83+'Input for bundle selection'!$B$84,0))))+J85*'Input for bundle selection'!$B$85+K85*'Input for bundle selection'!$B$86+L85*'Input for bundle selection'!$B$87+IF(R85="x",SUM(J85:L85)*'Input for bundle selection'!$B$88,0)</f>
        <v>3249</v>
      </c>
      <c r="D85" s="54"/>
      <c r="E85" s="54" t="s">
        <v>47</v>
      </c>
      <c r="F85" s="54"/>
      <c r="G85" s="54"/>
      <c r="H85" s="54" t="s">
        <v>47</v>
      </c>
      <c r="I85" s="54"/>
      <c r="J85" s="54">
        <v>1</v>
      </c>
      <c r="K85" s="54">
        <v>3</v>
      </c>
      <c r="L85" s="54"/>
      <c r="M85" s="54">
        <f t="shared" si="2"/>
        <v>1</v>
      </c>
      <c r="N85" s="54">
        <f t="shared" si="3"/>
        <v>1</v>
      </c>
      <c r="O85" s="54">
        <f t="shared" si="6"/>
        <v>1</v>
      </c>
      <c r="P85" s="54">
        <f t="shared" si="4"/>
        <v>2</v>
      </c>
      <c r="Q85" s="54" t="s">
        <v>47</v>
      </c>
      <c r="R85" s="54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9.8" x14ac:dyDescent="0.7">
      <c r="A86" s="53" t="str">
        <f t="shared" si="0"/>
        <v>PCBBBCCC00FFFK-0</v>
      </c>
      <c r="B86" s="53" t="str">
        <f t="shared" si="1"/>
        <v>Catchbox Plus System with 4 channel Hub DSP receiver 3 Clip 1 Stick incl chargers, Standard - Red</v>
      </c>
      <c r="C86" s="60">
        <f>IF(F86="x",'Input for bundle selection'!$B$82,IF(G86="x",'Input for bundle selection'!$B$82+'Input for bundle selection'!$B$84,IF(H86="x",'Input for bundle selection'!$B$83,IF(I86="x",'Input for bundle selection'!$B$83+'Input for bundle selection'!$B$84,0))))+J86*'Input for bundle selection'!$B$85+K86*'Input for bundle selection'!$B$86+L86*'Input for bundle selection'!$B$87+IF(R86="x",SUM(J86:L86)*'Input for bundle selection'!$B$88,0)</f>
        <v>3199</v>
      </c>
      <c r="D86" s="54"/>
      <c r="E86" s="54" t="s">
        <v>47</v>
      </c>
      <c r="F86" s="54"/>
      <c r="G86" s="54"/>
      <c r="H86" s="54" t="s">
        <v>47</v>
      </c>
      <c r="I86" s="54"/>
      <c r="J86" s="54"/>
      <c r="K86" s="54">
        <v>3</v>
      </c>
      <c r="L86" s="54">
        <v>1</v>
      </c>
      <c r="M86" s="54" t="str">
        <f t="shared" si="2"/>
        <v/>
      </c>
      <c r="N86" s="54" t="str">
        <f t="shared" si="3"/>
        <v/>
      </c>
      <c r="O86" s="54">
        <f t="shared" si="6"/>
        <v>2</v>
      </c>
      <c r="P86" s="54">
        <f t="shared" si="4"/>
        <v>2</v>
      </c>
      <c r="Q86" s="54" t="s">
        <v>47</v>
      </c>
      <c r="R86" s="54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9.8" x14ac:dyDescent="0.7">
      <c r="A87" s="53" t="str">
        <f t="shared" si="0"/>
        <v>PCACCCABC0AKKK-0</v>
      </c>
      <c r="B87" s="53" t="str">
        <f t="shared" si="1"/>
        <v>Catchbox Plus System with 4 channel Hub DSP receiver 1 Cube 3 Stick incl chargers, Standard - Red</v>
      </c>
      <c r="C87" s="60">
        <f>IF(F87="x",'Input for bundle selection'!$B$82,IF(G87="x",'Input for bundle selection'!$B$82+'Input for bundle selection'!$B$84,IF(H87="x",'Input for bundle selection'!$B$83,IF(I87="x",'Input for bundle selection'!$B$83+'Input for bundle selection'!$B$84,0))))+J87*'Input for bundle selection'!$B$85+K87*'Input for bundle selection'!$B$86+L87*'Input for bundle selection'!$B$87+IF(R87="x",SUM(J87:L87)*'Input for bundle selection'!$B$88,0)</f>
        <v>3399</v>
      </c>
      <c r="D87" s="54"/>
      <c r="E87" s="54" t="s">
        <v>47</v>
      </c>
      <c r="F87" s="54"/>
      <c r="G87" s="54"/>
      <c r="H87" s="54" t="s">
        <v>47</v>
      </c>
      <c r="I87" s="54"/>
      <c r="J87" s="54">
        <v>1</v>
      </c>
      <c r="K87" s="54"/>
      <c r="L87" s="54">
        <v>3</v>
      </c>
      <c r="M87" s="54">
        <f t="shared" si="2"/>
        <v>1</v>
      </c>
      <c r="N87" s="54">
        <f t="shared" si="3"/>
        <v>1</v>
      </c>
      <c r="O87" s="54">
        <f t="shared" si="6"/>
        <v>1</v>
      </c>
      <c r="P87" s="54">
        <f t="shared" si="4"/>
        <v>2</v>
      </c>
      <c r="Q87" s="54" t="s">
        <v>47</v>
      </c>
      <c r="R87" s="54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9.8" x14ac:dyDescent="0.7">
      <c r="A88" s="53" t="str">
        <f t="shared" si="0"/>
        <v>PCBCCCCC00FKKK-0</v>
      </c>
      <c r="B88" s="53" t="str">
        <f t="shared" si="1"/>
        <v>Catchbox Plus System with 4 channel Hub DSP receiver 1 Clip 3 Stick incl chargers, Standard - Red</v>
      </c>
      <c r="C88" s="60">
        <f>IF(F88="x",'Input for bundle selection'!$B$82,IF(G88="x",'Input for bundle selection'!$B$82+'Input for bundle selection'!$B$84,IF(H88="x",'Input for bundle selection'!$B$83,IF(I88="x",'Input for bundle selection'!$B$83+'Input for bundle selection'!$B$84,0))))+J88*'Input for bundle selection'!$B$85+K88*'Input for bundle selection'!$B$86+L88*'Input for bundle selection'!$B$87+IF(R88="x",SUM(J88:L88)*'Input for bundle selection'!$B$88,0)</f>
        <v>3299</v>
      </c>
      <c r="D88" s="54"/>
      <c r="E88" s="54" t="s">
        <v>47</v>
      </c>
      <c r="F88" s="54"/>
      <c r="G88" s="54"/>
      <c r="H88" s="54" t="s">
        <v>47</v>
      </c>
      <c r="I88" s="54"/>
      <c r="J88" s="54"/>
      <c r="K88" s="54">
        <v>1</v>
      </c>
      <c r="L88" s="54">
        <v>3</v>
      </c>
      <c r="M88" s="54" t="str">
        <f t="shared" si="2"/>
        <v/>
      </c>
      <c r="N88" s="54" t="str">
        <f t="shared" si="3"/>
        <v/>
      </c>
      <c r="O88" s="54">
        <f t="shared" si="6"/>
        <v>2</v>
      </c>
      <c r="P88" s="54">
        <f t="shared" si="4"/>
        <v>2</v>
      </c>
      <c r="Q88" s="54" t="s">
        <v>47</v>
      </c>
      <c r="R88" s="54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9.8" x14ac:dyDescent="0.7">
      <c r="A89" s="53" t="str">
        <f t="shared" si="0"/>
        <v>PCAAAAAAAAAAAA-0</v>
      </c>
      <c r="B89" s="53" t="str">
        <f t="shared" si="1"/>
        <v>Catchbox Plus System with 4 channel Hub DSP receiver 4 Cube incl chargers, Standard - Red</v>
      </c>
      <c r="C89" s="60">
        <f>IF(F89="x",'Input for bundle selection'!$B$82,IF(G89="x",'Input for bundle selection'!$B$82+'Input for bundle selection'!$B$84,IF(H89="x",'Input for bundle selection'!$B$83,IF(I89="x",'Input for bundle selection'!$B$83+'Input for bundle selection'!$B$84,0))))+J89*'Input for bundle selection'!$B$85+K89*'Input for bundle selection'!$B$86+L89*'Input for bundle selection'!$B$87+IF(R89="x",SUM(J89:L89)*'Input for bundle selection'!$B$88,0)</f>
        <v>3549</v>
      </c>
      <c r="D89" s="54"/>
      <c r="E89" s="54" t="s">
        <v>47</v>
      </c>
      <c r="F89" s="54"/>
      <c r="G89" s="54"/>
      <c r="H89" s="54" t="s">
        <v>47</v>
      </c>
      <c r="I89" s="54"/>
      <c r="J89" s="54">
        <v>4</v>
      </c>
      <c r="K89" s="54"/>
      <c r="L89" s="54"/>
      <c r="M89" s="54">
        <f t="shared" si="2"/>
        <v>4</v>
      </c>
      <c r="N89" s="54" t="str">
        <f t="shared" si="3"/>
        <v/>
      </c>
      <c r="O89" s="54" t="str">
        <f t="shared" si="6"/>
        <v/>
      </c>
      <c r="P89" s="54" t="str">
        <f t="shared" si="4"/>
        <v/>
      </c>
      <c r="Q89" s="54" t="s">
        <v>47</v>
      </c>
      <c r="R89" s="54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9.8" x14ac:dyDescent="0.7">
      <c r="A90" s="53" t="str">
        <f t="shared" si="0"/>
        <v>PCBBBBCC00FFFF-0</v>
      </c>
      <c r="B90" s="53" t="str">
        <f t="shared" si="1"/>
        <v>Catchbox Plus System with 4 channel Hub DSP receiver 4 Clip incl chargers, Standard - Red</v>
      </c>
      <c r="C90" s="60">
        <f>IF(F90="x",'Input for bundle selection'!$B$82,IF(G90="x",'Input for bundle selection'!$B$82+'Input for bundle selection'!$B$84,IF(H90="x",'Input for bundle selection'!$B$83,IF(I90="x",'Input for bundle selection'!$B$83+'Input for bundle selection'!$B$84,0))))+J90*'Input for bundle selection'!$B$85+K90*'Input for bundle selection'!$B$86+L90*'Input for bundle selection'!$B$87+IF(R90="x",SUM(J90:L90)*'Input for bundle selection'!$B$88,0)</f>
        <v>3149</v>
      </c>
      <c r="D90" s="54"/>
      <c r="E90" s="54" t="s">
        <v>47</v>
      </c>
      <c r="F90" s="54"/>
      <c r="G90" s="54"/>
      <c r="H90" s="54" t="s">
        <v>47</v>
      </c>
      <c r="I90" s="54"/>
      <c r="J90" s="54"/>
      <c r="K90" s="54">
        <v>4</v>
      </c>
      <c r="L90" s="54"/>
      <c r="M90" s="54" t="str">
        <f t="shared" si="2"/>
        <v/>
      </c>
      <c r="N90" s="54" t="str">
        <f t="shared" si="3"/>
        <v/>
      </c>
      <c r="O90" s="54">
        <f t="shared" si="6"/>
        <v>2</v>
      </c>
      <c r="P90" s="54">
        <f t="shared" si="4"/>
        <v>2</v>
      </c>
      <c r="Q90" s="54" t="s">
        <v>47</v>
      </c>
      <c r="R90" s="54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19.8" x14ac:dyDescent="0.7">
      <c r="A91" s="53" t="str">
        <f t="shared" si="0"/>
        <v>PCCCCCCC00KKKK-0</v>
      </c>
      <c r="B91" s="53" t="str">
        <f t="shared" si="1"/>
        <v>Catchbox Plus System with 4 channel Hub DSP receiver 4 Stick incl chargers, Standard - Red</v>
      </c>
      <c r="C91" s="60">
        <f>IF(F91="x",'Input for bundle selection'!$B$82,IF(G91="x",'Input for bundle selection'!$B$82+'Input for bundle selection'!$B$84,IF(H91="x",'Input for bundle selection'!$B$83,IF(I91="x",'Input for bundle selection'!$B$83+'Input for bundle selection'!$B$84,0))))+J91*'Input for bundle selection'!$B$85+K91*'Input for bundle selection'!$B$86+L91*'Input for bundle selection'!$B$87+IF(R91="x",SUM(J91:L91)*'Input for bundle selection'!$B$88,0)</f>
        <v>3349</v>
      </c>
      <c r="D91" s="54"/>
      <c r="E91" s="54" t="s">
        <v>47</v>
      </c>
      <c r="F91" s="54"/>
      <c r="G91" s="54"/>
      <c r="H91" s="54" t="s">
        <v>47</v>
      </c>
      <c r="I91" s="54"/>
      <c r="J91" s="54"/>
      <c r="K91" s="54"/>
      <c r="L91" s="54">
        <v>4</v>
      </c>
      <c r="M91" s="54" t="str">
        <f t="shared" si="2"/>
        <v/>
      </c>
      <c r="N91" s="54" t="str">
        <f t="shared" si="3"/>
        <v/>
      </c>
      <c r="O91" s="54">
        <f t="shared" si="6"/>
        <v>2</v>
      </c>
      <c r="P91" s="54">
        <f t="shared" si="4"/>
        <v>2</v>
      </c>
      <c r="Q91" s="54" t="s">
        <v>47</v>
      </c>
      <c r="R91" s="54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9.8" x14ac:dyDescent="0.7">
      <c r="A92" s="53" t="str">
        <f t="shared" si="0"/>
        <v>PCAABCAAC0AAFK-0</v>
      </c>
      <c r="B92" s="53" t="str">
        <f t="shared" si="1"/>
        <v>Catchbox Plus System with 4 channel Hub DSP receiver 2 Cube 1 Clip 1 Stick incl chargers, Standard - Red</v>
      </c>
      <c r="C92" s="60">
        <f>IF(F92="x",'Input for bundle selection'!$B$82,IF(G92="x",'Input for bundle selection'!$B$82+'Input for bundle selection'!$B$84,IF(H92="x",'Input for bundle selection'!$B$83,IF(I92="x",'Input for bundle selection'!$B$83+'Input for bundle selection'!$B$84,0))))+J92*'Input for bundle selection'!$B$85+K92*'Input for bundle selection'!$B$86+L92*'Input for bundle selection'!$B$87+IF(R92="x",SUM(J92:L92)*'Input for bundle selection'!$B$88,0)</f>
        <v>3399</v>
      </c>
      <c r="D92" s="54"/>
      <c r="E92" s="54" t="s">
        <v>47</v>
      </c>
      <c r="F92" s="54"/>
      <c r="G92" s="54"/>
      <c r="H92" s="54" t="s">
        <v>47</v>
      </c>
      <c r="I92" s="54"/>
      <c r="J92" s="54">
        <v>2</v>
      </c>
      <c r="K92" s="54">
        <v>1</v>
      </c>
      <c r="L92" s="54">
        <v>1</v>
      </c>
      <c r="M92" s="54">
        <f t="shared" si="2"/>
        <v>2</v>
      </c>
      <c r="N92" s="54" t="str">
        <f t="shared" si="3"/>
        <v/>
      </c>
      <c r="O92" s="54">
        <f t="shared" si="6"/>
        <v>1</v>
      </c>
      <c r="P92" s="54">
        <f t="shared" si="4"/>
        <v>1</v>
      </c>
      <c r="Q92" s="54" t="s">
        <v>47</v>
      </c>
      <c r="R92" s="54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9.8" x14ac:dyDescent="0.7">
      <c r="A93" s="53" t="str">
        <f t="shared" si="0"/>
        <v>PCAABBAAC0AAFF-0</v>
      </c>
      <c r="B93" s="53" t="str">
        <f t="shared" si="1"/>
        <v>Catchbox Plus System with 4 channel Hub DSP receiver 2 Cube 2 Clip incl chargers, Standard - Red</v>
      </c>
      <c r="C93" s="60">
        <f>IF(F93="x",'Input for bundle selection'!$B$82,IF(G93="x",'Input for bundle selection'!$B$82+'Input for bundle selection'!$B$84,IF(H93="x",'Input for bundle selection'!$B$83,IF(I93="x",'Input for bundle selection'!$B$83+'Input for bundle selection'!$B$84,0))))+J93*'Input for bundle selection'!$B$85+K93*'Input for bundle selection'!$B$86+L93*'Input for bundle selection'!$B$87+IF(R93="x",SUM(J93:L93)*'Input for bundle selection'!$B$88,0)</f>
        <v>3349</v>
      </c>
      <c r="D93" s="54"/>
      <c r="E93" s="54" t="s">
        <v>47</v>
      </c>
      <c r="F93" s="54"/>
      <c r="G93" s="54"/>
      <c r="H93" s="54" t="s">
        <v>47</v>
      </c>
      <c r="I93" s="54"/>
      <c r="J93" s="54">
        <v>2</v>
      </c>
      <c r="K93" s="54">
        <v>2</v>
      </c>
      <c r="L93" s="54"/>
      <c r="M93" s="54">
        <f t="shared" si="2"/>
        <v>2</v>
      </c>
      <c r="N93" s="54" t="str">
        <f t="shared" si="3"/>
        <v/>
      </c>
      <c r="O93" s="54">
        <f t="shared" si="6"/>
        <v>1</v>
      </c>
      <c r="P93" s="54">
        <f t="shared" si="4"/>
        <v>1</v>
      </c>
      <c r="Q93" s="54" t="s">
        <v>47</v>
      </c>
      <c r="R93" s="5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9.8" x14ac:dyDescent="0.7">
      <c r="A94" s="53" t="str">
        <f t="shared" si="0"/>
        <v>PCAACCAAC0AAKK-0</v>
      </c>
      <c r="B94" s="53" t="str">
        <f t="shared" si="1"/>
        <v>Catchbox Plus System with 4 channel Hub DSP receiver 2 Cube 2 Stick incl chargers, Standard - Red</v>
      </c>
      <c r="C94" s="60">
        <f>IF(F94="x",'Input for bundle selection'!$B$82,IF(G94="x",'Input for bundle selection'!$B$82+'Input for bundle selection'!$B$84,IF(H94="x",'Input for bundle selection'!$B$83,IF(I94="x",'Input for bundle selection'!$B$83+'Input for bundle selection'!$B$84,0))))+J94*'Input for bundle selection'!$B$85+K94*'Input for bundle selection'!$B$86+L94*'Input for bundle selection'!$B$87+IF(R94="x",SUM(J94:L94)*'Input for bundle selection'!$B$88,0)</f>
        <v>3449</v>
      </c>
      <c r="D94" s="54"/>
      <c r="E94" s="54" t="s">
        <v>47</v>
      </c>
      <c r="F94" s="54"/>
      <c r="G94" s="54"/>
      <c r="H94" s="54" t="s">
        <v>47</v>
      </c>
      <c r="I94" s="54"/>
      <c r="J94" s="54">
        <v>2</v>
      </c>
      <c r="K94" s="54"/>
      <c r="L94" s="54">
        <v>2</v>
      </c>
      <c r="M94" s="54">
        <f t="shared" si="2"/>
        <v>2</v>
      </c>
      <c r="N94" s="54" t="str">
        <f t="shared" si="3"/>
        <v/>
      </c>
      <c r="O94" s="54">
        <f t="shared" si="6"/>
        <v>1</v>
      </c>
      <c r="P94" s="54">
        <f t="shared" si="4"/>
        <v>1</v>
      </c>
      <c r="Q94" s="54" t="s">
        <v>47</v>
      </c>
      <c r="R94" s="54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9.8" x14ac:dyDescent="0.7">
      <c r="A95" s="53" t="str">
        <f t="shared" si="0"/>
        <v>PCABCCABC0EJOO-0</v>
      </c>
      <c r="B95" s="53" t="str">
        <f t="shared" si="1"/>
        <v>Catchbox Plus System with 4 channel Hub DSP receiver 1 Cube 1 Clip 2 Stick incl chargers, Custom</v>
      </c>
      <c r="C95" s="60">
        <f>IF(F95="x",'Input for bundle selection'!$B$82,IF(G95="x",'Input for bundle selection'!$B$82+'Input for bundle selection'!$B$84,IF(H95="x",'Input for bundle selection'!$B$83,IF(I95="x",'Input for bundle selection'!$B$83+'Input for bundle selection'!$B$84,0))))+J95*'Input for bundle selection'!$B$85+K95*'Input for bundle selection'!$B$86+L95*'Input for bundle selection'!$B$87+IF(R95="x",SUM(J95:L95)*'Input for bundle selection'!$B$88,0)</f>
        <v>3549</v>
      </c>
      <c r="D95" s="54"/>
      <c r="E95" s="54" t="s">
        <v>47</v>
      </c>
      <c r="F95" s="54"/>
      <c r="G95" s="54"/>
      <c r="H95" s="54" t="s">
        <v>47</v>
      </c>
      <c r="I95" s="54"/>
      <c r="J95" s="54">
        <v>1</v>
      </c>
      <c r="K95" s="54">
        <v>1</v>
      </c>
      <c r="L95" s="54">
        <v>2</v>
      </c>
      <c r="M95" s="54">
        <f t="shared" si="2"/>
        <v>1</v>
      </c>
      <c r="N95" s="54">
        <f t="shared" si="3"/>
        <v>1</v>
      </c>
      <c r="O95" s="54">
        <f t="shared" si="6"/>
        <v>1</v>
      </c>
      <c r="P95" s="54">
        <f t="shared" si="4"/>
        <v>2</v>
      </c>
      <c r="Q95" s="54"/>
      <c r="R95" s="54" t="s">
        <v>47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9.8" x14ac:dyDescent="0.7">
      <c r="A96" s="53" t="str">
        <f t="shared" si="0"/>
        <v>PCABBCABC0EJJO-0</v>
      </c>
      <c r="B96" s="53" t="str">
        <f t="shared" si="1"/>
        <v>Catchbox Plus System with 4 channel Hub DSP receiver 1 Cube 2 Clip 1 Stick incl chargers, Custom</v>
      </c>
      <c r="C96" s="60">
        <f>IF(F96="x",'Input for bundle selection'!$B$82,IF(G96="x",'Input for bundle selection'!$B$82+'Input for bundle selection'!$B$84,IF(H96="x",'Input for bundle selection'!$B$83,IF(I96="x",'Input for bundle selection'!$B$83+'Input for bundle selection'!$B$84,0))))+J96*'Input for bundle selection'!$B$85+K96*'Input for bundle selection'!$B$86+L96*'Input for bundle selection'!$B$87+IF(R96="x",SUM(J96:L96)*'Input for bundle selection'!$B$88,0)</f>
        <v>3499</v>
      </c>
      <c r="D96" s="54"/>
      <c r="E96" s="54" t="s">
        <v>47</v>
      </c>
      <c r="F96" s="54"/>
      <c r="G96" s="54"/>
      <c r="H96" s="54" t="s">
        <v>47</v>
      </c>
      <c r="I96" s="54"/>
      <c r="J96" s="54">
        <v>1</v>
      </c>
      <c r="K96" s="54">
        <v>2</v>
      </c>
      <c r="L96" s="54">
        <v>1</v>
      </c>
      <c r="M96" s="54">
        <f t="shared" si="2"/>
        <v>1</v>
      </c>
      <c r="N96" s="54">
        <f t="shared" si="3"/>
        <v>1</v>
      </c>
      <c r="O96" s="54">
        <f t="shared" si="6"/>
        <v>1</v>
      </c>
      <c r="P96" s="54">
        <f t="shared" si="4"/>
        <v>2</v>
      </c>
      <c r="Q96" s="54"/>
      <c r="R96" s="54" t="s">
        <v>47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19.8" x14ac:dyDescent="0.7">
      <c r="A97" s="53" t="str">
        <f t="shared" si="0"/>
        <v>PCBBCCCC00JJOO-0</v>
      </c>
      <c r="B97" s="53" t="str">
        <f t="shared" si="1"/>
        <v>Catchbox Plus System with 4 channel Hub DSP receiver 2 Clip 2 Stick incl chargers, Custom</v>
      </c>
      <c r="C97" s="60">
        <f>IF(F97="x",'Input for bundle selection'!$B$82,IF(G97="x",'Input for bundle selection'!$B$82+'Input for bundle selection'!$B$84,IF(H97="x",'Input for bundle selection'!$B$83,IF(I97="x",'Input for bundle selection'!$B$83+'Input for bundle selection'!$B$84,0))))+J97*'Input for bundle selection'!$B$85+K97*'Input for bundle selection'!$B$86+L97*'Input for bundle selection'!$B$87+IF(R97="x",SUM(J97:L97)*'Input for bundle selection'!$B$88,0)</f>
        <v>3449</v>
      </c>
      <c r="D97" s="54"/>
      <c r="E97" s="54" t="s">
        <v>47</v>
      </c>
      <c r="F97" s="54"/>
      <c r="G97" s="54"/>
      <c r="H97" s="54" t="s">
        <v>47</v>
      </c>
      <c r="I97" s="54"/>
      <c r="J97" s="54"/>
      <c r="K97" s="54">
        <v>2</v>
      </c>
      <c r="L97" s="54">
        <v>2</v>
      </c>
      <c r="M97" s="54" t="str">
        <f t="shared" si="2"/>
        <v/>
      </c>
      <c r="N97" s="54" t="str">
        <f t="shared" si="3"/>
        <v/>
      </c>
      <c r="O97" s="54">
        <f t="shared" si="6"/>
        <v>2</v>
      </c>
      <c r="P97" s="54">
        <f t="shared" si="4"/>
        <v>2</v>
      </c>
      <c r="Q97" s="54"/>
      <c r="R97" s="54" t="s">
        <v>47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19.8" x14ac:dyDescent="0.7">
      <c r="A98" s="53" t="str">
        <f t="shared" si="0"/>
        <v>PCAAABAAABEEEJ-0</v>
      </c>
      <c r="B98" s="53" t="str">
        <f t="shared" si="1"/>
        <v>Catchbox Plus System with 4 channel Hub DSP receiver 3 Cube 1 Clip incl chargers, Custom</v>
      </c>
      <c r="C98" s="60">
        <f>IF(F98="x",'Input for bundle selection'!$B$82,IF(G98="x",'Input for bundle selection'!$B$82+'Input for bundle selection'!$B$84,IF(H98="x",'Input for bundle selection'!$B$83,IF(I98="x",'Input for bundle selection'!$B$83+'Input for bundle selection'!$B$84,0))))+J98*'Input for bundle selection'!$B$85+K98*'Input for bundle selection'!$B$86+L98*'Input for bundle selection'!$B$87+IF(R98="x",SUM(J98:L98)*'Input for bundle selection'!$B$88,0)</f>
        <v>3649</v>
      </c>
      <c r="D98" s="54"/>
      <c r="E98" s="54" t="s">
        <v>47</v>
      </c>
      <c r="F98" s="54"/>
      <c r="G98" s="54"/>
      <c r="H98" s="54" t="s">
        <v>47</v>
      </c>
      <c r="I98" s="54"/>
      <c r="J98" s="54">
        <v>3</v>
      </c>
      <c r="K98" s="54">
        <v>1</v>
      </c>
      <c r="L98" s="54"/>
      <c r="M98" s="54">
        <f t="shared" si="2"/>
        <v>3</v>
      </c>
      <c r="N98" s="54">
        <f t="shared" si="3"/>
        <v>1</v>
      </c>
      <c r="O98" s="54" t="str">
        <f t="shared" si="6"/>
        <v/>
      </c>
      <c r="P98" s="54">
        <f t="shared" si="4"/>
        <v>1</v>
      </c>
      <c r="Q98" s="54"/>
      <c r="R98" s="54" t="s">
        <v>47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9.8" x14ac:dyDescent="0.7">
      <c r="A99" s="53" t="str">
        <f t="shared" si="0"/>
        <v>PCAAACAAABEEEO-0</v>
      </c>
      <c r="B99" s="53" t="str">
        <f t="shared" si="1"/>
        <v>Catchbox Plus System with 4 channel Hub DSP receiver 3 Cube 1 Stick incl chargers, Custom</v>
      </c>
      <c r="C99" s="60">
        <f>IF(F99="x",'Input for bundle selection'!$B$82,IF(G99="x",'Input for bundle selection'!$B$82+'Input for bundle selection'!$B$84,IF(H99="x",'Input for bundle selection'!$B$83,IF(I99="x",'Input for bundle selection'!$B$83+'Input for bundle selection'!$B$84,0))))+J99*'Input for bundle selection'!$B$85+K99*'Input for bundle selection'!$B$86+L99*'Input for bundle selection'!$B$87+IF(R99="x",SUM(J99:L99)*'Input for bundle selection'!$B$88,0)</f>
        <v>3699</v>
      </c>
      <c r="D99" s="54"/>
      <c r="E99" s="54" t="s">
        <v>47</v>
      </c>
      <c r="F99" s="54"/>
      <c r="G99" s="54"/>
      <c r="H99" s="54" t="s">
        <v>47</v>
      </c>
      <c r="I99" s="54"/>
      <c r="J99" s="54">
        <v>3</v>
      </c>
      <c r="K99" s="54"/>
      <c r="L99" s="54">
        <v>1</v>
      </c>
      <c r="M99" s="54">
        <f t="shared" si="2"/>
        <v>3</v>
      </c>
      <c r="N99" s="54">
        <f t="shared" si="3"/>
        <v>1</v>
      </c>
      <c r="O99" s="54" t="str">
        <f t="shared" si="6"/>
        <v/>
      </c>
      <c r="P99" s="54">
        <f t="shared" si="4"/>
        <v>1</v>
      </c>
      <c r="Q99" s="54"/>
      <c r="R99" s="54" t="s">
        <v>47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19.8" x14ac:dyDescent="0.7">
      <c r="A100" s="53" t="str">
        <f t="shared" si="0"/>
        <v>PCABBBABC0EJJJ-0</v>
      </c>
      <c r="B100" s="53" t="str">
        <f t="shared" si="1"/>
        <v>Catchbox Plus System with 4 channel Hub DSP receiver 1 Cube 3 Clip incl chargers, Custom</v>
      </c>
      <c r="C100" s="60">
        <f>IF(F100="x",'Input for bundle selection'!$B$82,IF(G100="x",'Input for bundle selection'!$B$82+'Input for bundle selection'!$B$84,IF(H100="x",'Input for bundle selection'!$B$83,IF(I100="x",'Input for bundle selection'!$B$83+'Input for bundle selection'!$B$84,0))))+J100*'Input for bundle selection'!$B$85+K100*'Input for bundle selection'!$B$86+L100*'Input for bundle selection'!$B$87+IF(R100="x",SUM(J100:L100)*'Input for bundle selection'!$B$88,0)</f>
        <v>3449</v>
      </c>
      <c r="D100" s="54"/>
      <c r="E100" s="54" t="s">
        <v>47</v>
      </c>
      <c r="F100" s="54"/>
      <c r="G100" s="54"/>
      <c r="H100" s="54" t="s">
        <v>47</v>
      </c>
      <c r="I100" s="54"/>
      <c r="J100" s="54">
        <v>1</v>
      </c>
      <c r="K100" s="54">
        <v>3</v>
      </c>
      <c r="L100" s="54"/>
      <c r="M100" s="54">
        <f t="shared" si="2"/>
        <v>1</v>
      </c>
      <c r="N100" s="54">
        <f t="shared" si="3"/>
        <v>1</v>
      </c>
      <c r="O100" s="54">
        <f t="shared" si="6"/>
        <v>1</v>
      </c>
      <c r="P100" s="54">
        <f t="shared" si="4"/>
        <v>2</v>
      </c>
      <c r="Q100" s="54"/>
      <c r="R100" s="54" t="s">
        <v>47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19.8" x14ac:dyDescent="0.7">
      <c r="A101" s="53" t="str">
        <f t="shared" si="0"/>
        <v>PCBBBCCC00JJJO-0</v>
      </c>
      <c r="B101" s="53" t="str">
        <f t="shared" si="1"/>
        <v>Catchbox Plus System with 4 channel Hub DSP receiver 3 Clip 1 Stick incl chargers, Custom</v>
      </c>
      <c r="C101" s="60">
        <f>IF(F101="x",'Input for bundle selection'!$B$82,IF(G101="x",'Input for bundle selection'!$B$82+'Input for bundle selection'!$B$84,IF(H101="x",'Input for bundle selection'!$B$83,IF(I101="x",'Input for bundle selection'!$B$83+'Input for bundle selection'!$B$84,0))))+J101*'Input for bundle selection'!$B$85+K101*'Input for bundle selection'!$B$86+L101*'Input for bundle selection'!$B$87+IF(R101="x",SUM(J101:L101)*'Input for bundle selection'!$B$88,0)</f>
        <v>3399</v>
      </c>
      <c r="D101" s="54"/>
      <c r="E101" s="54" t="s">
        <v>47</v>
      </c>
      <c r="F101" s="54"/>
      <c r="G101" s="54"/>
      <c r="H101" s="54" t="s">
        <v>47</v>
      </c>
      <c r="I101" s="54"/>
      <c r="J101" s="54"/>
      <c r="K101" s="54">
        <v>3</v>
      </c>
      <c r="L101" s="54">
        <v>1</v>
      </c>
      <c r="M101" s="54" t="str">
        <f t="shared" si="2"/>
        <v/>
      </c>
      <c r="N101" s="54" t="str">
        <f t="shared" si="3"/>
        <v/>
      </c>
      <c r="O101" s="54">
        <f t="shared" si="6"/>
        <v>2</v>
      </c>
      <c r="P101" s="54">
        <f t="shared" si="4"/>
        <v>2</v>
      </c>
      <c r="Q101" s="54"/>
      <c r="R101" s="54" t="s">
        <v>47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19.8" x14ac:dyDescent="0.7">
      <c r="A102" s="53" t="str">
        <f t="shared" si="0"/>
        <v>PCACCCABC0EOOO-0</v>
      </c>
      <c r="B102" s="53" t="str">
        <f t="shared" si="1"/>
        <v>Catchbox Plus System with 4 channel Hub DSP receiver 1 Cube 3 Stick incl chargers, Custom</v>
      </c>
      <c r="C102" s="60">
        <f>IF(F102="x",'Input for bundle selection'!$B$82,IF(G102="x",'Input for bundle selection'!$B$82+'Input for bundle selection'!$B$84,IF(H102="x",'Input for bundle selection'!$B$83,IF(I102="x",'Input for bundle selection'!$B$83+'Input for bundle selection'!$B$84,0))))+J102*'Input for bundle selection'!$B$85+K102*'Input for bundle selection'!$B$86+L102*'Input for bundle selection'!$B$87+IF(R102="x",SUM(J102:L102)*'Input for bundle selection'!$B$88,0)</f>
        <v>3599</v>
      </c>
      <c r="D102" s="54"/>
      <c r="E102" s="54" t="s">
        <v>47</v>
      </c>
      <c r="F102" s="54"/>
      <c r="G102" s="54"/>
      <c r="H102" s="54" t="s">
        <v>47</v>
      </c>
      <c r="I102" s="54"/>
      <c r="J102" s="54">
        <v>1</v>
      </c>
      <c r="K102" s="54"/>
      <c r="L102" s="54">
        <v>3</v>
      </c>
      <c r="M102" s="54">
        <f t="shared" si="2"/>
        <v>1</v>
      </c>
      <c r="N102" s="54">
        <f t="shared" si="3"/>
        <v>1</v>
      </c>
      <c r="O102" s="54">
        <f t="shared" si="6"/>
        <v>1</v>
      </c>
      <c r="P102" s="54">
        <f t="shared" si="4"/>
        <v>2</v>
      </c>
      <c r="Q102" s="54"/>
      <c r="R102" s="54" t="s">
        <v>47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19.8" x14ac:dyDescent="0.7">
      <c r="A103" s="53" t="str">
        <f t="shared" si="0"/>
        <v>PCBCCCCC00JOOO-0</v>
      </c>
      <c r="B103" s="53" t="str">
        <f t="shared" si="1"/>
        <v>Catchbox Plus System with 4 channel Hub DSP receiver 1 Clip 3 Stick incl chargers, Custom</v>
      </c>
      <c r="C103" s="60">
        <f>IF(F103="x",'Input for bundle selection'!$B$82,IF(G103="x",'Input for bundle selection'!$B$82+'Input for bundle selection'!$B$84,IF(H103="x",'Input for bundle selection'!$B$83,IF(I103="x",'Input for bundle selection'!$B$83+'Input for bundle selection'!$B$84,0))))+J103*'Input for bundle selection'!$B$85+K103*'Input for bundle selection'!$B$86+L103*'Input for bundle selection'!$B$87+IF(R103="x",SUM(J103:L103)*'Input for bundle selection'!$B$88,0)</f>
        <v>3499</v>
      </c>
      <c r="D103" s="54"/>
      <c r="E103" s="54" t="s">
        <v>47</v>
      </c>
      <c r="F103" s="54"/>
      <c r="G103" s="54"/>
      <c r="H103" s="54" t="s">
        <v>47</v>
      </c>
      <c r="I103" s="54"/>
      <c r="J103" s="54"/>
      <c r="K103" s="54">
        <v>1</v>
      </c>
      <c r="L103" s="54">
        <v>3</v>
      </c>
      <c r="M103" s="54" t="str">
        <f t="shared" si="2"/>
        <v/>
      </c>
      <c r="N103" s="54" t="str">
        <f t="shared" si="3"/>
        <v/>
      </c>
      <c r="O103" s="54">
        <f t="shared" si="6"/>
        <v>2</v>
      </c>
      <c r="P103" s="54">
        <f t="shared" si="4"/>
        <v>2</v>
      </c>
      <c r="Q103" s="54"/>
      <c r="R103" s="54" t="s">
        <v>47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19.8" x14ac:dyDescent="0.7">
      <c r="A104" s="53" t="str">
        <f t="shared" si="0"/>
        <v>PCAAAAAAAAEEEE-0</v>
      </c>
      <c r="B104" s="53" t="str">
        <f t="shared" si="1"/>
        <v>Catchbox Plus System with 4 channel Hub DSP receiver 4 Cube incl chargers, Custom</v>
      </c>
      <c r="C104" s="60">
        <f>IF(F104="x",'Input for bundle selection'!$B$82,IF(G104="x",'Input for bundle selection'!$B$82+'Input for bundle selection'!$B$84,IF(H104="x",'Input for bundle selection'!$B$83,IF(I104="x",'Input for bundle selection'!$B$83+'Input for bundle selection'!$B$84,0))))+J104*'Input for bundle selection'!$B$85+K104*'Input for bundle selection'!$B$86+L104*'Input for bundle selection'!$B$87+IF(R104="x",SUM(J104:L104)*'Input for bundle selection'!$B$88,0)</f>
        <v>3749</v>
      </c>
      <c r="D104" s="54"/>
      <c r="E104" s="54" t="s">
        <v>47</v>
      </c>
      <c r="F104" s="54"/>
      <c r="G104" s="54"/>
      <c r="H104" s="54" t="s">
        <v>47</v>
      </c>
      <c r="I104" s="54"/>
      <c r="J104" s="54">
        <v>4</v>
      </c>
      <c r="K104" s="54"/>
      <c r="L104" s="54"/>
      <c r="M104" s="54">
        <f t="shared" si="2"/>
        <v>4</v>
      </c>
      <c r="N104" s="54" t="str">
        <f t="shared" si="3"/>
        <v/>
      </c>
      <c r="O104" s="54" t="str">
        <f t="shared" si="6"/>
        <v/>
      </c>
      <c r="P104" s="54" t="str">
        <f t="shared" si="4"/>
        <v/>
      </c>
      <c r="Q104" s="54"/>
      <c r="R104" s="54" t="s">
        <v>47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19.8" x14ac:dyDescent="0.7">
      <c r="A105" s="53" t="str">
        <f t="shared" si="0"/>
        <v>PCBBBBCC00JJJJ-0</v>
      </c>
      <c r="B105" s="53" t="str">
        <f t="shared" si="1"/>
        <v>Catchbox Plus System with 4 channel Hub DSP receiver 4 Clip incl chargers, Custom</v>
      </c>
      <c r="C105" s="60">
        <f>IF(F105="x",'Input for bundle selection'!$B$82,IF(G105="x",'Input for bundle selection'!$B$82+'Input for bundle selection'!$B$84,IF(H105="x",'Input for bundle selection'!$B$83,IF(I105="x",'Input for bundle selection'!$B$83+'Input for bundle selection'!$B$84,0))))+J105*'Input for bundle selection'!$B$85+K105*'Input for bundle selection'!$B$86+L105*'Input for bundle selection'!$B$87+IF(R105="x",SUM(J105:L105)*'Input for bundle selection'!$B$88,0)</f>
        <v>3349</v>
      </c>
      <c r="D105" s="54"/>
      <c r="E105" s="54" t="s">
        <v>47</v>
      </c>
      <c r="F105" s="54"/>
      <c r="G105" s="54"/>
      <c r="H105" s="54" t="s">
        <v>47</v>
      </c>
      <c r="I105" s="54"/>
      <c r="J105" s="54"/>
      <c r="K105" s="54">
        <v>4</v>
      </c>
      <c r="L105" s="54"/>
      <c r="M105" s="54" t="str">
        <f t="shared" si="2"/>
        <v/>
      </c>
      <c r="N105" s="54" t="str">
        <f t="shared" si="3"/>
        <v/>
      </c>
      <c r="O105" s="54">
        <f t="shared" si="6"/>
        <v>2</v>
      </c>
      <c r="P105" s="54">
        <f t="shared" si="4"/>
        <v>2</v>
      </c>
      <c r="Q105" s="54"/>
      <c r="R105" s="54" t="s">
        <v>47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19.8" x14ac:dyDescent="0.7">
      <c r="A106" s="53" t="str">
        <f t="shared" si="0"/>
        <v>PCCCCCCC00OOOO-0</v>
      </c>
      <c r="B106" s="53" t="str">
        <f t="shared" si="1"/>
        <v>Catchbox Plus System with 4 channel Hub DSP receiver 4 Stick incl chargers, Custom</v>
      </c>
      <c r="C106" s="60">
        <f>IF(F106="x",'Input for bundle selection'!$B$82,IF(G106="x",'Input for bundle selection'!$B$82+'Input for bundle selection'!$B$84,IF(H106="x",'Input for bundle selection'!$B$83,IF(I106="x",'Input for bundle selection'!$B$83+'Input for bundle selection'!$B$84,0))))+J106*'Input for bundle selection'!$B$85+K106*'Input for bundle selection'!$B$86+L106*'Input for bundle selection'!$B$87+IF(R106="x",SUM(J106:L106)*'Input for bundle selection'!$B$88,0)</f>
        <v>3549</v>
      </c>
      <c r="D106" s="54"/>
      <c r="E106" s="54" t="s">
        <v>47</v>
      </c>
      <c r="F106" s="54"/>
      <c r="G106" s="54"/>
      <c r="H106" s="54" t="s">
        <v>47</v>
      </c>
      <c r="I106" s="54"/>
      <c r="J106" s="54"/>
      <c r="K106" s="54"/>
      <c r="L106" s="54">
        <v>4</v>
      </c>
      <c r="M106" s="54" t="str">
        <f t="shared" si="2"/>
        <v/>
      </c>
      <c r="N106" s="54" t="str">
        <f t="shared" si="3"/>
        <v/>
      </c>
      <c r="O106" s="54">
        <f t="shared" si="6"/>
        <v>2</v>
      </c>
      <c r="P106" s="54">
        <f t="shared" si="4"/>
        <v>2</v>
      </c>
      <c r="Q106" s="54"/>
      <c r="R106" s="54" t="s">
        <v>47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19.8" x14ac:dyDescent="0.7">
      <c r="A107" s="53" t="str">
        <f t="shared" si="0"/>
        <v>PCAABCAAC0EEJO-0</v>
      </c>
      <c r="B107" s="53" t="str">
        <f t="shared" si="1"/>
        <v>Catchbox Plus System with 4 channel Hub DSP receiver 2 Cube 1 Clip 1 Stick incl chargers, Custom</v>
      </c>
      <c r="C107" s="60">
        <f>IF(F107="x",'Input for bundle selection'!$B$82,IF(G107="x",'Input for bundle selection'!$B$82+'Input for bundle selection'!$B$84,IF(H107="x",'Input for bundle selection'!$B$83,IF(I107="x",'Input for bundle selection'!$B$83+'Input for bundle selection'!$B$84,0))))+J107*'Input for bundle selection'!$B$85+K107*'Input for bundle selection'!$B$86+L107*'Input for bundle selection'!$B$87+IF(R107="x",SUM(J107:L107)*'Input for bundle selection'!$B$88,0)</f>
        <v>3599</v>
      </c>
      <c r="D107" s="54"/>
      <c r="E107" s="54" t="s">
        <v>47</v>
      </c>
      <c r="F107" s="54"/>
      <c r="G107" s="54"/>
      <c r="H107" s="54" t="s">
        <v>47</v>
      </c>
      <c r="I107" s="54"/>
      <c r="J107" s="54">
        <v>2</v>
      </c>
      <c r="K107" s="54">
        <v>1</v>
      </c>
      <c r="L107" s="54">
        <v>1</v>
      </c>
      <c r="M107" s="54">
        <f t="shared" si="2"/>
        <v>2</v>
      </c>
      <c r="N107" s="54" t="str">
        <f t="shared" si="3"/>
        <v/>
      </c>
      <c r="O107" s="54">
        <f t="shared" si="6"/>
        <v>1</v>
      </c>
      <c r="P107" s="54">
        <f t="shared" si="4"/>
        <v>1</v>
      </c>
      <c r="Q107" s="53"/>
      <c r="R107" s="53" t="s">
        <v>47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19.8" x14ac:dyDescent="0.7">
      <c r="A108" s="53" t="str">
        <f t="shared" si="0"/>
        <v>PCAABBAAC0EEJJ-0</v>
      </c>
      <c r="B108" s="53" t="str">
        <f t="shared" si="1"/>
        <v>Catchbox Plus System with 4 channel Hub DSP receiver 2 Cube 2 Clip incl chargers, Custom</v>
      </c>
      <c r="C108" s="60">
        <f>IF(F108="x",'Input for bundle selection'!$B$82,IF(G108="x",'Input for bundle selection'!$B$82+'Input for bundle selection'!$B$84,IF(H108="x",'Input for bundle selection'!$B$83,IF(I108="x",'Input for bundle selection'!$B$83+'Input for bundle selection'!$B$84,0))))+J108*'Input for bundle selection'!$B$85+K108*'Input for bundle selection'!$B$86+L108*'Input for bundle selection'!$B$87+IF(R108="x",SUM(J108:L108)*'Input for bundle selection'!$B$88,0)</f>
        <v>3549</v>
      </c>
      <c r="D108" s="54"/>
      <c r="E108" s="54" t="s">
        <v>47</v>
      </c>
      <c r="F108" s="54"/>
      <c r="G108" s="54"/>
      <c r="H108" s="54" t="s">
        <v>47</v>
      </c>
      <c r="I108" s="54"/>
      <c r="J108" s="54">
        <v>2</v>
      </c>
      <c r="K108" s="54">
        <v>2</v>
      </c>
      <c r="L108" s="54"/>
      <c r="M108" s="54">
        <f t="shared" si="2"/>
        <v>2</v>
      </c>
      <c r="N108" s="54" t="str">
        <f t="shared" si="3"/>
        <v/>
      </c>
      <c r="O108" s="54">
        <f t="shared" si="6"/>
        <v>1</v>
      </c>
      <c r="P108" s="54">
        <f t="shared" si="4"/>
        <v>1</v>
      </c>
      <c r="Q108" s="53"/>
      <c r="R108" s="53" t="s">
        <v>47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19.8" x14ac:dyDescent="0.7">
      <c r="A109" s="53" t="str">
        <f t="shared" si="0"/>
        <v>PCAACCAAC0EEOO-0</v>
      </c>
      <c r="B109" s="53" t="str">
        <f t="shared" si="1"/>
        <v>Catchbox Plus System with 4 channel Hub DSP receiver 2 Cube 2 Stick incl chargers, Custom</v>
      </c>
      <c r="C109" s="60">
        <f>IF(F109="x",'Input for bundle selection'!$B$82,IF(G109="x",'Input for bundle selection'!$B$82+'Input for bundle selection'!$B$84,IF(H109="x",'Input for bundle selection'!$B$83,IF(I109="x",'Input for bundle selection'!$B$83+'Input for bundle selection'!$B$84,0))))+J109*'Input for bundle selection'!$B$85+K109*'Input for bundle selection'!$B$86+L109*'Input for bundle selection'!$B$87+IF(R109="x",SUM(J109:L109)*'Input for bundle selection'!$B$88,0)</f>
        <v>3649</v>
      </c>
      <c r="D109" s="54"/>
      <c r="E109" s="54" t="s">
        <v>47</v>
      </c>
      <c r="F109" s="54"/>
      <c r="G109" s="54"/>
      <c r="H109" s="54" t="s">
        <v>47</v>
      </c>
      <c r="I109" s="54"/>
      <c r="J109" s="54">
        <v>2</v>
      </c>
      <c r="K109" s="54"/>
      <c r="L109" s="54">
        <v>2</v>
      </c>
      <c r="M109" s="54">
        <f t="shared" si="2"/>
        <v>2</v>
      </c>
      <c r="N109" s="54" t="str">
        <f t="shared" si="3"/>
        <v/>
      </c>
      <c r="O109" s="54">
        <f t="shared" si="6"/>
        <v>1</v>
      </c>
      <c r="P109" s="54">
        <f t="shared" si="4"/>
        <v>1</v>
      </c>
      <c r="Q109" s="53"/>
      <c r="R109" s="53" t="s">
        <v>47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19.8" x14ac:dyDescent="0.7">
      <c r="A110" s="53" t="str">
        <f t="shared" si="0"/>
        <v>PDA000A000A000-0</v>
      </c>
      <c r="B110" s="53" t="str">
        <f t="shared" si="1"/>
        <v>Catchbox Plus System with 4 channel Hub DSP receiver with Networking and DANTE 1 Cube incl chargers, Standard - Red</v>
      </c>
      <c r="C110" s="60">
        <f>IF(F110="x",'Input for bundle selection'!$B$82,IF(G110="x",'Input for bundle selection'!$B$82+'Input for bundle selection'!$B$84,IF(H110="x",'Input for bundle selection'!$B$83,IF(I110="x",'Input for bundle selection'!$B$83+'Input for bundle selection'!$B$84,0))))+J110*'Input for bundle selection'!$B$85+K110*'Input for bundle selection'!$B$86+L110*'Input for bundle selection'!$B$87+IF(R110="x",SUM(J110:L110)*'Input for bundle selection'!$B$88,0)</f>
        <v>2199</v>
      </c>
      <c r="D110" s="54"/>
      <c r="E110" s="54" t="s">
        <v>47</v>
      </c>
      <c r="F110" s="54"/>
      <c r="G110" s="53"/>
      <c r="H110" s="54"/>
      <c r="I110" s="54" t="s">
        <v>47</v>
      </c>
      <c r="J110" s="54">
        <v>1</v>
      </c>
      <c r="K110" s="54"/>
      <c r="L110" s="54"/>
      <c r="M110" s="54">
        <f t="shared" si="2"/>
        <v>1</v>
      </c>
      <c r="N110" s="54" t="str">
        <f t="shared" si="3"/>
        <v/>
      </c>
      <c r="O110" s="54" t="str">
        <f t="shared" si="6"/>
        <v/>
      </c>
      <c r="P110" s="54" t="str">
        <f t="shared" si="4"/>
        <v/>
      </c>
      <c r="Q110" s="54" t="s">
        <v>47</v>
      </c>
      <c r="R110" s="54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19.8" x14ac:dyDescent="0.7">
      <c r="A111" s="53" t="str">
        <f t="shared" si="0"/>
        <v>PDB000B000F000-0</v>
      </c>
      <c r="B111" s="53" t="str">
        <f t="shared" si="1"/>
        <v>Catchbox Plus System with 4 channel Hub DSP receiver with Networking and DANTE 1 Clip incl chargers, Standard - Red</v>
      </c>
      <c r="C111" s="60">
        <f>IF(F111="x",'Input for bundle selection'!$B$82,IF(G111="x",'Input for bundle selection'!$B$82+'Input for bundle selection'!$B$84,IF(H111="x",'Input for bundle selection'!$B$83,IF(I111="x",'Input for bundle selection'!$B$83+'Input for bundle selection'!$B$84,0))))+J111*'Input for bundle selection'!$B$85+K111*'Input for bundle selection'!$B$86+L111*'Input for bundle selection'!$B$87+IF(R111="x",SUM(J111:L111)*'Input for bundle selection'!$B$88,0)</f>
        <v>2099</v>
      </c>
      <c r="D111" s="54"/>
      <c r="E111" s="54" t="s">
        <v>47</v>
      </c>
      <c r="F111" s="54"/>
      <c r="G111" s="53"/>
      <c r="H111" s="54"/>
      <c r="I111" s="54" t="s">
        <v>47</v>
      </c>
      <c r="J111" s="54"/>
      <c r="K111" s="54">
        <v>1</v>
      </c>
      <c r="L111" s="54"/>
      <c r="M111" s="54" t="str">
        <f t="shared" si="2"/>
        <v/>
      </c>
      <c r="N111" s="54">
        <f t="shared" si="3"/>
        <v>1</v>
      </c>
      <c r="O111" s="54" t="str">
        <f t="shared" si="6"/>
        <v/>
      </c>
      <c r="P111" s="54">
        <f t="shared" si="4"/>
        <v>1</v>
      </c>
      <c r="Q111" s="54" t="s">
        <v>47</v>
      </c>
      <c r="R111" s="54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19.8" x14ac:dyDescent="0.7">
      <c r="A112" s="53" t="str">
        <f t="shared" si="0"/>
        <v>PDC000B000K000-0</v>
      </c>
      <c r="B112" s="53" t="str">
        <f t="shared" si="1"/>
        <v>Catchbox Plus System with 4 channel Hub DSP receiver with Networking and DANTE 1 Stick incl chargers, Standard - Red</v>
      </c>
      <c r="C112" s="60">
        <f>IF(F112="x",'Input for bundle selection'!$B$82,IF(G112="x",'Input for bundle selection'!$B$82+'Input for bundle selection'!$B$84,IF(H112="x",'Input for bundle selection'!$B$83,IF(I112="x",'Input for bundle selection'!$B$83+'Input for bundle selection'!$B$84,0))))+J112*'Input for bundle selection'!$B$85+K112*'Input for bundle selection'!$B$86+L112*'Input for bundle selection'!$B$87+IF(R112="x",SUM(J112:L112)*'Input for bundle selection'!$B$88,0)</f>
        <v>2149</v>
      </c>
      <c r="D112" s="54"/>
      <c r="E112" s="54" t="s">
        <v>47</v>
      </c>
      <c r="F112" s="54"/>
      <c r="G112" s="53"/>
      <c r="H112" s="54"/>
      <c r="I112" s="54" t="s">
        <v>47</v>
      </c>
      <c r="J112" s="54"/>
      <c r="K112" s="54"/>
      <c r="L112" s="54">
        <v>1</v>
      </c>
      <c r="M112" s="54" t="str">
        <f t="shared" si="2"/>
        <v/>
      </c>
      <c r="N112" s="54">
        <f t="shared" si="3"/>
        <v>1</v>
      </c>
      <c r="O112" s="54" t="str">
        <f t="shared" si="6"/>
        <v/>
      </c>
      <c r="P112" s="54">
        <f t="shared" si="4"/>
        <v>1</v>
      </c>
      <c r="Q112" s="54" t="s">
        <v>47</v>
      </c>
      <c r="R112" s="54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19.8" x14ac:dyDescent="0.7">
      <c r="A113" s="53" t="str">
        <f t="shared" si="0"/>
        <v>PDA000A000E000-0</v>
      </c>
      <c r="B113" s="53" t="str">
        <f t="shared" si="1"/>
        <v>Catchbox Plus System with 4 channel Hub DSP receiver with Networking and DANTE 1 Cube incl chargers, Custom</v>
      </c>
      <c r="C113" s="60">
        <f>IF(F113="x",'Input for bundle selection'!$B$82,IF(G113="x",'Input for bundle selection'!$B$82+'Input for bundle selection'!$B$84,IF(H113="x",'Input for bundle selection'!$B$83,IF(I113="x",'Input for bundle selection'!$B$83+'Input for bundle selection'!$B$84,0))))+J113*'Input for bundle selection'!$B$85+K113*'Input for bundle selection'!$B$86+L113*'Input for bundle selection'!$B$87+IF(R113="x",SUM(J113:L113)*'Input for bundle selection'!$B$88,0)</f>
        <v>2249</v>
      </c>
      <c r="D113" s="54"/>
      <c r="E113" s="54" t="s">
        <v>47</v>
      </c>
      <c r="F113" s="54"/>
      <c r="G113" s="53"/>
      <c r="H113" s="54"/>
      <c r="I113" s="54" t="s">
        <v>47</v>
      </c>
      <c r="J113" s="54">
        <v>1</v>
      </c>
      <c r="K113" s="54"/>
      <c r="L113" s="54"/>
      <c r="M113" s="54">
        <f t="shared" si="2"/>
        <v>1</v>
      </c>
      <c r="N113" s="54" t="str">
        <f t="shared" si="3"/>
        <v/>
      </c>
      <c r="O113" s="54" t="str">
        <f t="shared" si="6"/>
        <v/>
      </c>
      <c r="P113" s="54" t="str">
        <f t="shared" si="4"/>
        <v/>
      </c>
      <c r="Q113" s="54"/>
      <c r="R113" s="54" t="s">
        <v>47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19.8" x14ac:dyDescent="0.7">
      <c r="A114" s="53" t="str">
        <f t="shared" si="0"/>
        <v>PDB000B000J000-0</v>
      </c>
      <c r="B114" s="53" t="str">
        <f t="shared" si="1"/>
        <v>Catchbox Plus System with 4 channel Hub DSP receiver with Networking and DANTE 1 Clip incl chargers, Custom</v>
      </c>
      <c r="C114" s="60">
        <f>IF(F114="x",'Input for bundle selection'!$B$82,IF(G114="x",'Input for bundle selection'!$B$82+'Input for bundle selection'!$B$84,IF(H114="x",'Input for bundle selection'!$B$83,IF(I114="x",'Input for bundle selection'!$B$83+'Input for bundle selection'!$B$84,0))))+J114*'Input for bundle selection'!$B$85+K114*'Input for bundle selection'!$B$86+L114*'Input for bundle selection'!$B$87+IF(R114="x",SUM(J114:L114)*'Input for bundle selection'!$B$88,0)</f>
        <v>2149</v>
      </c>
      <c r="D114" s="54"/>
      <c r="E114" s="54" t="s">
        <v>47</v>
      </c>
      <c r="F114" s="54"/>
      <c r="G114" s="53"/>
      <c r="H114" s="54"/>
      <c r="I114" s="54" t="s">
        <v>47</v>
      </c>
      <c r="J114" s="54"/>
      <c r="K114" s="54">
        <v>1</v>
      </c>
      <c r="L114" s="54"/>
      <c r="M114" s="54" t="str">
        <f t="shared" si="2"/>
        <v/>
      </c>
      <c r="N114" s="54">
        <f t="shared" si="3"/>
        <v>1</v>
      </c>
      <c r="O114" s="54" t="str">
        <f t="shared" si="6"/>
        <v/>
      </c>
      <c r="P114" s="54">
        <f t="shared" si="4"/>
        <v>1</v>
      </c>
      <c r="Q114" s="54"/>
      <c r="R114" s="54" t="s">
        <v>47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19.8" x14ac:dyDescent="0.7">
      <c r="A115" s="53" t="str">
        <f t="shared" si="0"/>
        <v>PDC000B000O000-0</v>
      </c>
      <c r="B115" s="53" t="str">
        <f t="shared" si="1"/>
        <v>Catchbox Plus System with 4 channel Hub DSP receiver with Networking and DANTE 1 Stick incl chargers, Custom</v>
      </c>
      <c r="C115" s="60">
        <f>IF(F115="x",'Input for bundle selection'!$B$82,IF(G115="x",'Input for bundle selection'!$B$82+'Input for bundle selection'!$B$84,IF(H115="x",'Input for bundle selection'!$B$83,IF(I115="x",'Input for bundle selection'!$B$83+'Input for bundle selection'!$B$84,0))))+J115*'Input for bundle selection'!$B$85+K115*'Input for bundle selection'!$B$86+L115*'Input for bundle selection'!$B$87+IF(R115="x",SUM(J115:L115)*'Input for bundle selection'!$B$88,0)</f>
        <v>2199</v>
      </c>
      <c r="D115" s="54"/>
      <c r="E115" s="54" t="s">
        <v>47</v>
      </c>
      <c r="F115" s="54"/>
      <c r="G115" s="53"/>
      <c r="H115" s="54"/>
      <c r="I115" s="54" t="s">
        <v>47</v>
      </c>
      <c r="J115" s="54"/>
      <c r="K115" s="54"/>
      <c r="L115" s="54">
        <v>1</v>
      </c>
      <c r="M115" s="54" t="str">
        <f t="shared" si="2"/>
        <v/>
      </c>
      <c r="N115" s="54">
        <f t="shared" si="3"/>
        <v>1</v>
      </c>
      <c r="O115" s="54" t="str">
        <f t="shared" si="6"/>
        <v/>
      </c>
      <c r="P115" s="54">
        <f t="shared" si="4"/>
        <v>1</v>
      </c>
      <c r="Q115" s="54"/>
      <c r="R115" s="54" t="s">
        <v>47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19.8" x14ac:dyDescent="0.7">
      <c r="A116" s="53" t="str">
        <f t="shared" si="0"/>
        <v>PDAB00AB00AF00-0</v>
      </c>
      <c r="B116" s="53" t="str">
        <f t="shared" si="1"/>
        <v>Catchbox Plus System with 4 channel Hub DSP receiver with Networking and DANTE 1 Cube 1 Clip incl chargers, Standard - Red</v>
      </c>
      <c r="C116" s="60">
        <f>IF(F116="x",'Input for bundle selection'!$B$82,IF(G116="x",'Input for bundle selection'!$B$82+'Input for bundle selection'!$B$84,IF(H116="x",'Input for bundle selection'!$B$83,IF(I116="x",'Input for bundle selection'!$B$83+'Input for bundle selection'!$B$84,0))))+J116*'Input for bundle selection'!$B$85+K116*'Input for bundle selection'!$B$86+L116*'Input for bundle selection'!$B$87+IF(R116="x",SUM(J116:L116)*'Input for bundle selection'!$B$88,0)</f>
        <v>2649</v>
      </c>
      <c r="D116" s="54"/>
      <c r="E116" s="54" t="s">
        <v>47</v>
      </c>
      <c r="F116" s="54"/>
      <c r="G116" s="53"/>
      <c r="H116" s="54"/>
      <c r="I116" s="54" t="s">
        <v>47</v>
      </c>
      <c r="J116" s="54">
        <v>1</v>
      </c>
      <c r="K116" s="54">
        <v>1</v>
      </c>
      <c r="L116" s="54"/>
      <c r="M116" s="54">
        <f t="shared" si="2"/>
        <v>1</v>
      </c>
      <c r="N116" s="54">
        <f t="shared" si="3"/>
        <v>1</v>
      </c>
      <c r="O116" s="54" t="str">
        <f t="shared" si="6"/>
        <v/>
      </c>
      <c r="P116" s="54">
        <f t="shared" si="4"/>
        <v>1</v>
      </c>
      <c r="Q116" s="54" t="s">
        <v>47</v>
      </c>
      <c r="R116" s="54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19.8" x14ac:dyDescent="0.7">
      <c r="A117" s="53" t="str">
        <f t="shared" si="0"/>
        <v>PDAC00AB00AK00-0</v>
      </c>
      <c r="B117" s="53" t="str">
        <f t="shared" si="1"/>
        <v>Catchbox Plus System with 4 channel Hub DSP receiver with Networking and DANTE 1 Cube 1 Stick incl chargers, Standard - Red</v>
      </c>
      <c r="C117" s="60">
        <f>IF(F117="x",'Input for bundle selection'!$B$82,IF(G117="x",'Input for bundle selection'!$B$82+'Input for bundle selection'!$B$84,IF(H117="x",'Input for bundle selection'!$B$83,IF(I117="x",'Input for bundle selection'!$B$83+'Input for bundle selection'!$B$84,0))))+J117*'Input for bundle selection'!$B$85+K117*'Input for bundle selection'!$B$86+L117*'Input for bundle selection'!$B$87+IF(R117="x",SUM(J117:L117)*'Input for bundle selection'!$B$88,0)</f>
        <v>2699</v>
      </c>
      <c r="D117" s="54"/>
      <c r="E117" s="54" t="s">
        <v>47</v>
      </c>
      <c r="F117" s="54"/>
      <c r="G117" s="53"/>
      <c r="H117" s="54"/>
      <c r="I117" s="54" t="s">
        <v>47</v>
      </c>
      <c r="J117" s="54">
        <v>1</v>
      </c>
      <c r="K117" s="54"/>
      <c r="L117" s="54">
        <v>1</v>
      </c>
      <c r="M117" s="54">
        <f t="shared" si="2"/>
        <v>1</v>
      </c>
      <c r="N117" s="54">
        <f t="shared" si="3"/>
        <v>1</v>
      </c>
      <c r="O117" s="54" t="str">
        <f t="shared" si="6"/>
        <v/>
      </c>
      <c r="P117" s="54">
        <f t="shared" si="4"/>
        <v>1</v>
      </c>
      <c r="Q117" s="54" t="s">
        <v>47</v>
      </c>
      <c r="R117" s="54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19.8" x14ac:dyDescent="0.7">
      <c r="A118" s="53" t="str">
        <f t="shared" si="0"/>
        <v>PDBC00C000FK00-0</v>
      </c>
      <c r="B118" s="53" t="str">
        <f t="shared" si="1"/>
        <v>Catchbox Plus System with 4 channel Hub DSP receiver with Networking and DANTE 1 Clip 1 Stick incl chargers, Standard - Red</v>
      </c>
      <c r="C118" s="60">
        <f>IF(F118="x",'Input for bundle selection'!$B$82,IF(G118="x",'Input for bundle selection'!$B$82+'Input for bundle selection'!$B$84,IF(H118="x",'Input for bundle selection'!$B$83,IF(I118="x",'Input for bundle selection'!$B$83+'Input for bundle selection'!$B$84,0))))+J118*'Input for bundle selection'!$B$85+K118*'Input for bundle selection'!$B$86+L118*'Input for bundle selection'!$B$87+IF(R118="x",SUM(J118:L118)*'Input for bundle selection'!$B$88,0)</f>
        <v>2599</v>
      </c>
      <c r="D118" s="54"/>
      <c r="E118" s="54" t="s">
        <v>47</v>
      </c>
      <c r="F118" s="54"/>
      <c r="G118" s="53"/>
      <c r="H118" s="54"/>
      <c r="I118" s="54" t="s">
        <v>47</v>
      </c>
      <c r="J118" s="54"/>
      <c r="K118" s="54">
        <v>1</v>
      </c>
      <c r="L118" s="54">
        <v>1</v>
      </c>
      <c r="M118" s="54" t="str">
        <f t="shared" si="2"/>
        <v/>
      </c>
      <c r="N118" s="54" t="str">
        <f t="shared" si="3"/>
        <v/>
      </c>
      <c r="O118" s="54">
        <f t="shared" si="6"/>
        <v>1</v>
      </c>
      <c r="P118" s="54">
        <f t="shared" si="4"/>
        <v>1</v>
      </c>
      <c r="Q118" s="54" t="s">
        <v>47</v>
      </c>
      <c r="R118" s="54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19.8" x14ac:dyDescent="0.7">
      <c r="A119" s="53" t="str">
        <f t="shared" si="0"/>
        <v>PDAA00AA00AA00-0</v>
      </c>
      <c r="B119" s="53" t="str">
        <f t="shared" si="1"/>
        <v>Catchbox Plus System with 4 channel Hub DSP receiver with Networking and DANTE 2 Cube incl chargers, Standard - Red</v>
      </c>
      <c r="C119" s="60">
        <f>IF(F119="x",'Input for bundle selection'!$B$82,IF(G119="x",'Input for bundle selection'!$B$82+'Input for bundle selection'!$B$84,IF(H119="x",'Input for bundle selection'!$B$83,IF(I119="x",'Input for bundle selection'!$B$83+'Input for bundle selection'!$B$84,0))))+J119*'Input for bundle selection'!$B$85+K119*'Input for bundle selection'!$B$86+L119*'Input for bundle selection'!$B$87+IF(R119="x",SUM(J119:L119)*'Input for bundle selection'!$B$88,0)</f>
        <v>2749</v>
      </c>
      <c r="D119" s="54"/>
      <c r="E119" s="54" t="s">
        <v>47</v>
      </c>
      <c r="F119" s="54"/>
      <c r="G119" s="53"/>
      <c r="H119" s="54"/>
      <c r="I119" s="54" t="s">
        <v>47</v>
      </c>
      <c r="J119" s="54">
        <v>2</v>
      </c>
      <c r="K119" s="54"/>
      <c r="L119" s="54"/>
      <c r="M119" s="54">
        <f t="shared" si="2"/>
        <v>2</v>
      </c>
      <c r="N119" s="54" t="str">
        <f t="shared" si="3"/>
        <v/>
      </c>
      <c r="O119" s="54" t="str">
        <f t="shared" si="6"/>
        <v/>
      </c>
      <c r="P119" s="54" t="str">
        <f t="shared" si="4"/>
        <v/>
      </c>
      <c r="Q119" s="54" t="s">
        <v>47</v>
      </c>
      <c r="R119" s="54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19.8" x14ac:dyDescent="0.7">
      <c r="A120" s="53" t="str">
        <f t="shared" si="0"/>
        <v>PDBB00C000FF00-0</v>
      </c>
      <c r="B120" s="53" t="str">
        <f t="shared" si="1"/>
        <v>Catchbox Plus System with 4 channel Hub DSP receiver with Networking and DANTE 2 Clip incl chargers, Standard - Red</v>
      </c>
      <c r="C120" s="60">
        <f>IF(F120="x",'Input for bundle selection'!$B$82,IF(G120="x",'Input for bundle selection'!$B$82+'Input for bundle selection'!$B$84,IF(H120="x",'Input for bundle selection'!$B$83,IF(I120="x",'Input for bundle selection'!$B$83+'Input for bundle selection'!$B$84,0))))+J120*'Input for bundle selection'!$B$85+K120*'Input for bundle selection'!$B$86+L120*'Input for bundle selection'!$B$87+IF(R120="x",SUM(J120:L120)*'Input for bundle selection'!$B$88,0)</f>
        <v>2549</v>
      </c>
      <c r="D120" s="54"/>
      <c r="E120" s="54" t="s">
        <v>47</v>
      </c>
      <c r="F120" s="54"/>
      <c r="G120" s="53"/>
      <c r="H120" s="54"/>
      <c r="I120" s="54" t="s">
        <v>47</v>
      </c>
      <c r="J120" s="54"/>
      <c r="K120" s="54">
        <v>2</v>
      </c>
      <c r="L120" s="54"/>
      <c r="M120" s="54" t="str">
        <f t="shared" si="2"/>
        <v/>
      </c>
      <c r="N120" s="54" t="str">
        <f t="shared" si="3"/>
        <v/>
      </c>
      <c r="O120" s="54">
        <f t="shared" si="6"/>
        <v>1</v>
      </c>
      <c r="P120" s="54">
        <f t="shared" si="4"/>
        <v>1</v>
      </c>
      <c r="Q120" s="54" t="s">
        <v>47</v>
      </c>
      <c r="R120" s="54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19.8" x14ac:dyDescent="0.7">
      <c r="A121" s="53" t="str">
        <f t="shared" si="0"/>
        <v>PDCC00C000KK00-0</v>
      </c>
      <c r="B121" s="53" t="str">
        <f t="shared" si="1"/>
        <v>Catchbox Plus System with 4 channel Hub DSP receiver with Networking and DANTE 2 Stick incl chargers, Standard - Red</v>
      </c>
      <c r="C121" s="60">
        <f>IF(F121="x",'Input for bundle selection'!$B$82,IF(G121="x",'Input for bundle selection'!$B$82+'Input for bundle selection'!$B$84,IF(H121="x",'Input for bundle selection'!$B$83,IF(I121="x",'Input for bundle selection'!$B$83+'Input for bundle selection'!$B$84,0))))+J121*'Input for bundle selection'!$B$85+K121*'Input for bundle selection'!$B$86+L121*'Input for bundle selection'!$B$87+IF(R121="x",SUM(J121:L121)*'Input for bundle selection'!$B$88,0)</f>
        <v>2649</v>
      </c>
      <c r="D121" s="54"/>
      <c r="E121" s="54" t="s">
        <v>47</v>
      </c>
      <c r="F121" s="54"/>
      <c r="G121" s="53"/>
      <c r="H121" s="54"/>
      <c r="I121" s="54" t="s">
        <v>47</v>
      </c>
      <c r="J121" s="54"/>
      <c r="K121" s="54"/>
      <c r="L121" s="54">
        <v>2</v>
      </c>
      <c r="M121" s="54" t="str">
        <f t="shared" si="2"/>
        <v/>
      </c>
      <c r="N121" s="54" t="str">
        <f t="shared" si="3"/>
        <v/>
      </c>
      <c r="O121" s="54">
        <f t="shared" si="6"/>
        <v>1</v>
      </c>
      <c r="P121" s="54">
        <f t="shared" si="4"/>
        <v>1</v>
      </c>
      <c r="Q121" s="54" t="s">
        <v>47</v>
      </c>
      <c r="R121" s="54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19.8" x14ac:dyDescent="0.7">
      <c r="A122" s="53" t="str">
        <f t="shared" si="0"/>
        <v>PDAB00AB00EJ00-0</v>
      </c>
      <c r="B122" s="53" t="str">
        <f t="shared" si="1"/>
        <v>Catchbox Plus System with 4 channel Hub DSP receiver with Networking and DANTE 1 Cube 1 Clip incl chargers, Custom</v>
      </c>
      <c r="C122" s="60">
        <f>IF(F122="x",'Input for bundle selection'!$B$82,IF(G122="x",'Input for bundle selection'!$B$82+'Input for bundle selection'!$B$84,IF(H122="x",'Input for bundle selection'!$B$83,IF(I122="x",'Input for bundle selection'!$B$83+'Input for bundle selection'!$B$84,0))))+J122*'Input for bundle selection'!$B$85+K122*'Input for bundle selection'!$B$86+L122*'Input for bundle selection'!$B$87+IF(R122="x",SUM(J122:L122)*'Input for bundle selection'!$B$88,0)</f>
        <v>2749</v>
      </c>
      <c r="D122" s="54"/>
      <c r="E122" s="54" t="s">
        <v>47</v>
      </c>
      <c r="F122" s="54"/>
      <c r="G122" s="53"/>
      <c r="H122" s="54"/>
      <c r="I122" s="54" t="s">
        <v>47</v>
      </c>
      <c r="J122" s="54">
        <v>1</v>
      </c>
      <c r="K122" s="54">
        <v>1</v>
      </c>
      <c r="L122" s="54"/>
      <c r="M122" s="54">
        <f t="shared" si="2"/>
        <v>1</v>
      </c>
      <c r="N122" s="54">
        <f t="shared" si="3"/>
        <v>1</v>
      </c>
      <c r="O122" s="54" t="str">
        <f t="shared" si="6"/>
        <v/>
      </c>
      <c r="P122" s="54">
        <f t="shared" si="4"/>
        <v>1</v>
      </c>
      <c r="Q122" s="54"/>
      <c r="R122" s="54" t="s">
        <v>47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19.8" x14ac:dyDescent="0.7">
      <c r="A123" s="53" t="str">
        <f t="shared" si="0"/>
        <v>PDAC00AB00EO00-0</v>
      </c>
      <c r="B123" s="53" t="str">
        <f t="shared" si="1"/>
        <v>Catchbox Plus System with 4 channel Hub DSP receiver with Networking and DANTE 1 Cube 1 Stick incl chargers, Custom</v>
      </c>
      <c r="C123" s="60">
        <f>IF(F123="x",'Input for bundle selection'!$B$82,IF(G123="x",'Input for bundle selection'!$B$82+'Input for bundle selection'!$B$84,IF(H123="x",'Input for bundle selection'!$B$83,IF(I123="x",'Input for bundle selection'!$B$83+'Input for bundle selection'!$B$84,0))))+J123*'Input for bundle selection'!$B$85+K123*'Input for bundle selection'!$B$86+L123*'Input for bundle selection'!$B$87+IF(R123="x",SUM(J123:L123)*'Input for bundle selection'!$B$88,0)</f>
        <v>2799</v>
      </c>
      <c r="D123" s="54"/>
      <c r="E123" s="54" t="s">
        <v>47</v>
      </c>
      <c r="F123" s="54"/>
      <c r="G123" s="53"/>
      <c r="H123" s="54"/>
      <c r="I123" s="54" t="s">
        <v>47</v>
      </c>
      <c r="J123" s="54">
        <v>1</v>
      </c>
      <c r="K123" s="54"/>
      <c r="L123" s="54">
        <v>1</v>
      </c>
      <c r="M123" s="54">
        <f t="shared" si="2"/>
        <v>1</v>
      </c>
      <c r="N123" s="54">
        <f t="shared" si="3"/>
        <v>1</v>
      </c>
      <c r="O123" s="54" t="str">
        <f t="shared" si="6"/>
        <v/>
      </c>
      <c r="P123" s="54">
        <f t="shared" si="4"/>
        <v>1</v>
      </c>
      <c r="Q123" s="54"/>
      <c r="R123" s="54" t="s">
        <v>47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19.8" x14ac:dyDescent="0.7">
      <c r="A124" s="53" t="str">
        <f t="shared" si="0"/>
        <v>PDBC00C000JO00-0</v>
      </c>
      <c r="B124" s="53" t="str">
        <f t="shared" si="1"/>
        <v>Catchbox Plus System with 4 channel Hub DSP receiver with Networking and DANTE 1 Clip 1 Stick incl chargers, Custom</v>
      </c>
      <c r="C124" s="60">
        <f>IF(F124="x",'Input for bundle selection'!$B$82,IF(G124="x",'Input for bundle selection'!$B$82+'Input for bundle selection'!$B$84,IF(H124="x",'Input for bundle selection'!$B$83,IF(I124="x",'Input for bundle selection'!$B$83+'Input for bundle selection'!$B$84,0))))+J124*'Input for bundle selection'!$B$85+K124*'Input for bundle selection'!$B$86+L124*'Input for bundle selection'!$B$87+IF(R124="x",SUM(J124:L124)*'Input for bundle selection'!$B$88,0)</f>
        <v>2699</v>
      </c>
      <c r="D124" s="54"/>
      <c r="E124" s="54" t="s">
        <v>47</v>
      </c>
      <c r="F124" s="54"/>
      <c r="G124" s="53"/>
      <c r="H124" s="54"/>
      <c r="I124" s="54" t="s">
        <v>47</v>
      </c>
      <c r="J124" s="54"/>
      <c r="K124" s="54">
        <v>1</v>
      </c>
      <c r="L124" s="54">
        <v>1</v>
      </c>
      <c r="M124" s="54" t="str">
        <f t="shared" si="2"/>
        <v/>
      </c>
      <c r="N124" s="54" t="str">
        <f t="shared" si="3"/>
        <v/>
      </c>
      <c r="O124" s="54">
        <f t="shared" si="6"/>
        <v>1</v>
      </c>
      <c r="P124" s="54">
        <f t="shared" si="4"/>
        <v>1</v>
      </c>
      <c r="Q124" s="54"/>
      <c r="R124" s="54" t="s">
        <v>47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19.8" x14ac:dyDescent="0.7">
      <c r="A125" s="53" t="str">
        <f t="shared" si="0"/>
        <v>PDAA00AA00EE00-0</v>
      </c>
      <c r="B125" s="53" t="str">
        <f t="shared" si="1"/>
        <v>Catchbox Plus System with 4 channel Hub DSP receiver with Networking and DANTE 2 Cube incl chargers, Custom</v>
      </c>
      <c r="C125" s="60">
        <f>IF(F125="x",'Input for bundle selection'!$B$82,IF(G125="x",'Input for bundle selection'!$B$82+'Input for bundle selection'!$B$84,IF(H125="x",'Input for bundle selection'!$B$83,IF(I125="x",'Input for bundle selection'!$B$83+'Input for bundle selection'!$B$84,0))))+J125*'Input for bundle selection'!$B$85+K125*'Input for bundle selection'!$B$86+L125*'Input for bundle selection'!$B$87+IF(R125="x",SUM(J125:L125)*'Input for bundle selection'!$B$88,0)</f>
        <v>2849</v>
      </c>
      <c r="D125" s="54"/>
      <c r="E125" s="54" t="s">
        <v>47</v>
      </c>
      <c r="F125" s="54"/>
      <c r="G125" s="53"/>
      <c r="H125" s="54"/>
      <c r="I125" s="54" t="s">
        <v>47</v>
      </c>
      <c r="J125" s="54">
        <v>2</v>
      </c>
      <c r="K125" s="54"/>
      <c r="L125" s="54"/>
      <c r="M125" s="54">
        <f t="shared" si="2"/>
        <v>2</v>
      </c>
      <c r="N125" s="54" t="str">
        <f t="shared" si="3"/>
        <v/>
      </c>
      <c r="O125" s="54" t="str">
        <f t="shared" si="6"/>
        <v/>
      </c>
      <c r="P125" s="54" t="str">
        <f t="shared" si="4"/>
        <v/>
      </c>
      <c r="Q125" s="54"/>
      <c r="R125" s="54" t="s">
        <v>47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19.8" x14ac:dyDescent="0.7">
      <c r="A126" s="53" t="str">
        <f t="shared" si="0"/>
        <v>PDBB00C000JJ00-0</v>
      </c>
      <c r="B126" s="53" t="str">
        <f t="shared" si="1"/>
        <v>Catchbox Plus System with 4 channel Hub DSP receiver with Networking and DANTE 2 Clip incl chargers, Custom</v>
      </c>
      <c r="C126" s="60">
        <f>IF(F126="x",'Input for bundle selection'!$B$82,IF(G126="x",'Input for bundle selection'!$B$82+'Input for bundle selection'!$B$84,IF(H126="x",'Input for bundle selection'!$B$83,IF(I126="x",'Input for bundle selection'!$B$83+'Input for bundle selection'!$B$84,0))))+J126*'Input for bundle selection'!$B$85+K126*'Input for bundle selection'!$B$86+L126*'Input for bundle selection'!$B$87+IF(R126="x",SUM(J126:L126)*'Input for bundle selection'!$B$88,0)</f>
        <v>2649</v>
      </c>
      <c r="D126" s="54"/>
      <c r="E126" s="54" t="s">
        <v>47</v>
      </c>
      <c r="F126" s="54"/>
      <c r="G126" s="53"/>
      <c r="H126" s="54"/>
      <c r="I126" s="54" t="s">
        <v>47</v>
      </c>
      <c r="J126" s="54"/>
      <c r="K126" s="54">
        <v>2</v>
      </c>
      <c r="L126" s="54"/>
      <c r="M126" s="54" t="str">
        <f t="shared" si="2"/>
        <v/>
      </c>
      <c r="N126" s="54" t="str">
        <f t="shared" si="3"/>
        <v/>
      </c>
      <c r="O126" s="54">
        <f t="shared" si="6"/>
        <v>1</v>
      </c>
      <c r="P126" s="54">
        <f t="shared" si="4"/>
        <v>1</v>
      </c>
      <c r="Q126" s="54"/>
      <c r="R126" s="54" t="s">
        <v>47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19.8" x14ac:dyDescent="0.7">
      <c r="A127" s="53" t="str">
        <f t="shared" si="0"/>
        <v>PDCC00C000OO00-0</v>
      </c>
      <c r="B127" s="53" t="str">
        <f t="shared" si="1"/>
        <v>Catchbox Plus System with 4 channel Hub DSP receiver with Networking and DANTE 2 Stick incl chargers, Custom</v>
      </c>
      <c r="C127" s="60">
        <f>IF(F127="x",'Input for bundle selection'!$B$82,IF(G127="x",'Input for bundle selection'!$B$82+'Input for bundle selection'!$B$84,IF(H127="x",'Input for bundle selection'!$B$83,IF(I127="x",'Input for bundle selection'!$B$83+'Input for bundle selection'!$B$84,0))))+J127*'Input for bundle selection'!$B$85+K127*'Input for bundle selection'!$B$86+L127*'Input for bundle selection'!$B$87+IF(R127="x",SUM(J127:L127)*'Input for bundle selection'!$B$88,0)</f>
        <v>2749</v>
      </c>
      <c r="D127" s="54"/>
      <c r="E127" s="54" t="s">
        <v>47</v>
      </c>
      <c r="F127" s="54"/>
      <c r="G127" s="53"/>
      <c r="H127" s="54"/>
      <c r="I127" s="54" t="s">
        <v>47</v>
      </c>
      <c r="J127" s="54"/>
      <c r="K127" s="54"/>
      <c r="L127" s="54">
        <v>2</v>
      </c>
      <c r="M127" s="54" t="str">
        <f t="shared" si="2"/>
        <v/>
      </c>
      <c r="N127" s="54" t="str">
        <f t="shared" si="3"/>
        <v/>
      </c>
      <c r="O127" s="54">
        <f t="shared" si="6"/>
        <v>1</v>
      </c>
      <c r="P127" s="54">
        <f t="shared" si="4"/>
        <v>1</v>
      </c>
      <c r="Q127" s="54"/>
      <c r="R127" s="54" t="s">
        <v>47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19.8" x14ac:dyDescent="0.7">
      <c r="A128" s="53" t="str">
        <f t="shared" si="0"/>
        <v>PDABC0AC00AFK0-0</v>
      </c>
      <c r="B128" s="53" t="str">
        <f t="shared" si="1"/>
        <v>Catchbox Plus System with 4 channel Hub DSP receiver with Networking and DANTE 1 Cube 1 Clip 1 Stick incl chargers, Standard - Red</v>
      </c>
      <c r="C128" s="60">
        <f>IF(F128="x",'Input for bundle selection'!$B$82,IF(G128="x",'Input for bundle selection'!$B$82+'Input for bundle selection'!$B$84,IF(H128="x",'Input for bundle selection'!$B$83,IF(I128="x",'Input for bundle selection'!$B$83+'Input for bundle selection'!$B$84,0))))+J128*'Input for bundle selection'!$B$85+K128*'Input for bundle selection'!$B$86+L128*'Input for bundle selection'!$B$87+IF(R128="x",SUM(J128:L128)*'Input for bundle selection'!$B$88,0)</f>
        <v>3149</v>
      </c>
      <c r="D128" s="54"/>
      <c r="E128" s="54" t="s">
        <v>47</v>
      </c>
      <c r="F128" s="54"/>
      <c r="G128" s="53"/>
      <c r="H128" s="54"/>
      <c r="I128" s="54" t="s">
        <v>47</v>
      </c>
      <c r="J128" s="54">
        <v>1</v>
      </c>
      <c r="K128" s="54">
        <v>1</v>
      </c>
      <c r="L128" s="54">
        <v>1</v>
      </c>
      <c r="M128" s="54">
        <f t="shared" si="2"/>
        <v>1</v>
      </c>
      <c r="N128" s="54" t="str">
        <f t="shared" si="3"/>
        <v/>
      </c>
      <c r="O128" s="54">
        <f t="shared" si="6"/>
        <v>1</v>
      </c>
      <c r="P128" s="54">
        <f t="shared" si="4"/>
        <v>1</v>
      </c>
      <c r="Q128" s="54" t="s">
        <v>47</v>
      </c>
      <c r="R128" s="54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19.8" x14ac:dyDescent="0.7">
      <c r="A129" s="53" t="str">
        <f t="shared" si="0"/>
        <v>PDAAB0AAB0AAF0-0</v>
      </c>
      <c r="B129" s="53" t="str">
        <f t="shared" si="1"/>
        <v>Catchbox Plus System with 4 channel Hub DSP receiver with Networking and DANTE 2 Cube 1 Clip incl chargers, Standard - Red</v>
      </c>
      <c r="C129" s="60">
        <f>IF(F129="x",'Input for bundle selection'!$B$82,IF(G129="x",'Input for bundle selection'!$B$82+'Input for bundle selection'!$B$84,IF(H129="x",'Input for bundle selection'!$B$83,IF(I129="x",'Input for bundle selection'!$B$83+'Input for bundle selection'!$B$84,0))))+J129*'Input for bundle selection'!$B$85+K129*'Input for bundle selection'!$B$86+L129*'Input for bundle selection'!$B$87+IF(R129="x",SUM(J129:L129)*'Input for bundle selection'!$B$88,0)</f>
        <v>3199</v>
      </c>
      <c r="D129" s="54"/>
      <c r="E129" s="54" t="s">
        <v>47</v>
      </c>
      <c r="F129" s="54"/>
      <c r="G129" s="53"/>
      <c r="H129" s="54"/>
      <c r="I129" s="54" t="s">
        <v>47</v>
      </c>
      <c r="J129" s="54">
        <v>2</v>
      </c>
      <c r="K129" s="54">
        <v>1</v>
      </c>
      <c r="L129" s="54"/>
      <c r="M129" s="54">
        <f t="shared" si="2"/>
        <v>2</v>
      </c>
      <c r="N129" s="54">
        <f t="shared" si="3"/>
        <v>1</v>
      </c>
      <c r="O129" s="54" t="str">
        <f t="shared" si="6"/>
        <v/>
      </c>
      <c r="P129" s="54">
        <f t="shared" si="4"/>
        <v>1</v>
      </c>
      <c r="Q129" s="54" t="s">
        <v>47</v>
      </c>
      <c r="R129" s="54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19.8" x14ac:dyDescent="0.7">
      <c r="A130" s="53" t="str">
        <f t="shared" si="0"/>
        <v>PDABB0AC00AFF0-0</v>
      </c>
      <c r="B130" s="53" t="str">
        <f t="shared" si="1"/>
        <v>Catchbox Plus System with 4 channel Hub DSP receiver with Networking and DANTE 1 Cube 2 Clip incl chargers, Standard - Red</v>
      </c>
      <c r="C130" s="60">
        <f>IF(F130="x",'Input for bundle selection'!$B$82,IF(G130="x",'Input for bundle selection'!$B$82+'Input for bundle selection'!$B$84,IF(H130="x",'Input for bundle selection'!$B$83,IF(I130="x",'Input for bundle selection'!$B$83+'Input for bundle selection'!$B$84,0))))+J130*'Input for bundle selection'!$B$85+K130*'Input for bundle selection'!$B$86+L130*'Input for bundle selection'!$B$87+IF(R130="x",SUM(J130:L130)*'Input for bundle selection'!$B$88,0)</f>
        <v>3099</v>
      </c>
      <c r="D130" s="54"/>
      <c r="E130" s="54" t="s">
        <v>47</v>
      </c>
      <c r="F130" s="54"/>
      <c r="G130" s="53"/>
      <c r="H130" s="54"/>
      <c r="I130" s="54" t="s">
        <v>47</v>
      </c>
      <c r="J130" s="54">
        <v>1</v>
      </c>
      <c r="K130" s="54">
        <v>2</v>
      </c>
      <c r="L130" s="54"/>
      <c r="M130" s="54">
        <f t="shared" si="2"/>
        <v>1</v>
      </c>
      <c r="N130" s="54" t="str">
        <f t="shared" si="3"/>
        <v/>
      </c>
      <c r="O130" s="54">
        <f t="shared" si="6"/>
        <v>1</v>
      </c>
      <c r="P130" s="54">
        <f t="shared" si="4"/>
        <v>1</v>
      </c>
      <c r="Q130" s="54" t="s">
        <v>47</v>
      </c>
      <c r="R130" s="54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19.8" x14ac:dyDescent="0.7">
      <c r="A131" s="53" t="str">
        <f t="shared" si="0"/>
        <v>PDACC0AC00AKK0-0</v>
      </c>
      <c r="B131" s="53" t="str">
        <f t="shared" si="1"/>
        <v>Catchbox Plus System with 4 channel Hub DSP receiver with Networking and DANTE 1 Cube 2 Stick incl chargers, Standard - Red</v>
      </c>
      <c r="C131" s="60">
        <f>IF(F131="x",'Input for bundle selection'!$B$82,IF(G131="x",'Input for bundle selection'!$B$82+'Input for bundle selection'!$B$84,IF(H131="x",'Input for bundle selection'!$B$83,IF(I131="x",'Input for bundle selection'!$B$83+'Input for bundle selection'!$B$84,0))))+J131*'Input for bundle selection'!$B$85+K131*'Input for bundle selection'!$B$86+L131*'Input for bundle selection'!$B$87+IF(R131="x",SUM(J131:L131)*'Input for bundle selection'!$B$88,0)</f>
        <v>3199</v>
      </c>
      <c r="D131" s="54"/>
      <c r="E131" s="54" t="s">
        <v>47</v>
      </c>
      <c r="F131" s="54"/>
      <c r="G131" s="53"/>
      <c r="H131" s="54"/>
      <c r="I131" s="54" t="s">
        <v>47</v>
      </c>
      <c r="J131" s="54">
        <v>1</v>
      </c>
      <c r="K131" s="54"/>
      <c r="L131" s="54">
        <v>2</v>
      </c>
      <c r="M131" s="54">
        <f t="shared" si="2"/>
        <v>1</v>
      </c>
      <c r="N131" s="54" t="str">
        <f t="shared" si="3"/>
        <v/>
      </c>
      <c r="O131" s="54">
        <f t="shared" si="6"/>
        <v>1</v>
      </c>
      <c r="P131" s="54">
        <f t="shared" si="4"/>
        <v>1</v>
      </c>
      <c r="Q131" s="54" t="s">
        <v>47</v>
      </c>
      <c r="R131" s="54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19.8" x14ac:dyDescent="0.7">
      <c r="A132" s="53" t="str">
        <f t="shared" si="0"/>
        <v>PDAAC0AAB0AAK0-0</v>
      </c>
      <c r="B132" s="53" t="str">
        <f t="shared" si="1"/>
        <v>Catchbox Plus System with 4 channel Hub DSP receiver with Networking and DANTE 2 Cube 1 Stick incl chargers, Standard - Red</v>
      </c>
      <c r="C132" s="60">
        <f>IF(F132="x",'Input for bundle selection'!$B$82,IF(G132="x",'Input for bundle selection'!$B$82+'Input for bundle selection'!$B$84,IF(H132="x",'Input for bundle selection'!$B$83,IF(I132="x",'Input for bundle selection'!$B$83+'Input for bundle selection'!$B$84,0))))+J132*'Input for bundle selection'!$B$85+K132*'Input for bundle selection'!$B$86+L132*'Input for bundle selection'!$B$87+IF(R132="x",SUM(J132:L132)*'Input for bundle selection'!$B$88,0)</f>
        <v>3249</v>
      </c>
      <c r="D132" s="54"/>
      <c r="E132" s="54" t="s">
        <v>47</v>
      </c>
      <c r="F132" s="54"/>
      <c r="G132" s="53"/>
      <c r="H132" s="54"/>
      <c r="I132" s="54" t="s">
        <v>47</v>
      </c>
      <c r="J132" s="54">
        <v>2</v>
      </c>
      <c r="K132" s="54"/>
      <c r="L132" s="54">
        <v>1</v>
      </c>
      <c r="M132" s="54">
        <f t="shared" si="2"/>
        <v>2</v>
      </c>
      <c r="N132" s="54">
        <f t="shared" si="3"/>
        <v>1</v>
      </c>
      <c r="O132" s="54" t="str">
        <f t="shared" si="6"/>
        <v/>
      </c>
      <c r="P132" s="54">
        <f t="shared" si="4"/>
        <v>1</v>
      </c>
      <c r="Q132" s="54" t="s">
        <v>47</v>
      </c>
      <c r="R132" s="54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19.8" x14ac:dyDescent="0.7">
      <c r="A133" s="53" t="str">
        <f t="shared" si="0"/>
        <v>PDBCC0BC00FKK0-0</v>
      </c>
      <c r="B133" s="53" t="str">
        <f t="shared" si="1"/>
        <v>Catchbox Plus System with 4 channel Hub DSP receiver with Networking and DANTE 1 Clip 2 Stick incl chargers, Standard - Red</v>
      </c>
      <c r="C133" s="60">
        <f>IF(F133="x",'Input for bundle selection'!$B$82,IF(G133="x",'Input for bundle selection'!$B$82+'Input for bundle selection'!$B$84,IF(H133="x",'Input for bundle selection'!$B$83,IF(I133="x",'Input for bundle selection'!$B$83+'Input for bundle selection'!$B$84,0))))+J133*'Input for bundle selection'!$B$85+K133*'Input for bundle selection'!$B$86+L133*'Input for bundle selection'!$B$87+IF(R133="x",SUM(J133:L133)*'Input for bundle selection'!$B$88,0)</f>
        <v>3099</v>
      </c>
      <c r="D133" s="54"/>
      <c r="E133" s="54" t="s">
        <v>47</v>
      </c>
      <c r="F133" s="54"/>
      <c r="G133" s="53"/>
      <c r="H133" s="54"/>
      <c r="I133" s="54" t="s">
        <v>47</v>
      </c>
      <c r="J133" s="54"/>
      <c r="K133" s="54">
        <v>1</v>
      </c>
      <c r="L133" s="54">
        <v>2</v>
      </c>
      <c r="M133" s="54" t="str">
        <f t="shared" si="2"/>
        <v/>
      </c>
      <c r="N133" s="54">
        <f t="shared" si="3"/>
        <v>1</v>
      </c>
      <c r="O133" s="54">
        <f t="shared" si="6"/>
        <v>1</v>
      </c>
      <c r="P133" s="54">
        <f t="shared" si="4"/>
        <v>2</v>
      </c>
      <c r="Q133" s="54" t="s">
        <v>47</v>
      </c>
      <c r="R133" s="54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19.8" x14ac:dyDescent="0.7">
      <c r="A134" s="53" t="str">
        <f t="shared" si="0"/>
        <v>PDBBC0BC00FFK0-0</v>
      </c>
      <c r="B134" s="53" t="str">
        <f t="shared" si="1"/>
        <v>Catchbox Plus System with 4 channel Hub DSP receiver with Networking and DANTE 2 Clip 1 Stick incl chargers, Standard - Red</v>
      </c>
      <c r="C134" s="60">
        <f>IF(F134="x",'Input for bundle selection'!$B$82,IF(G134="x",'Input for bundle selection'!$B$82+'Input for bundle selection'!$B$84,IF(H134="x",'Input for bundle selection'!$B$83,IF(I134="x",'Input for bundle selection'!$B$83+'Input for bundle selection'!$B$84,0))))+J134*'Input for bundle selection'!$B$85+K134*'Input for bundle selection'!$B$86+L134*'Input for bundle selection'!$B$87+IF(R134="x",SUM(J134:L134)*'Input for bundle selection'!$B$88,0)</f>
        <v>3049</v>
      </c>
      <c r="D134" s="54"/>
      <c r="E134" s="54" t="s">
        <v>47</v>
      </c>
      <c r="F134" s="54"/>
      <c r="G134" s="53"/>
      <c r="H134" s="54"/>
      <c r="I134" s="54" t="s">
        <v>47</v>
      </c>
      <c r="J134" s="54"/>
      <c r="K134" s="54">
        <v>2</v>
      </c>
      <c r="L134" s="54">
        <v>1</v>
      </c>
      <c r="M134" s="54" t="str">
        <f t="shared" si="2"/>
        <v/>
      </c>
      <c r="N134" s="54">
        <f t="shared" si="3"/>
        <v>1</v>
      </c>
      <c r="O134" s="54">
        <f t="shared" si="6"/>
        <v>1</v>
      </c>
      <c r="P134" s="54">
        <f t="shared" si="4"/>
        <v>2</v>
      </c>
      <c r="Q134" s="54" t="s">
        <v>47</v>
      </c>
      <c r="R134" s="54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9.8" x14ac:dyDescent="0.7">
      <c r="A135" s="53" t="str">
        <f t="shared" si="0"/>
        <v>PDAAA0AAA0AAA0-0</v>
      </c>
      <c r="B135" s="53" t="str">
        <f t="shared" si="1"/>
        <v>Catchbox Plus System with 4 channel Hub DSP receiver with Networking and DANTE 3 Cube incl chargers, Standard - Red</v>
      </c>
      <c r="C135" s="60">
        <f>IF(F135="x",'Input for bundle selection'!$B$82,IF(G135="x",'Input for bundle selection'!$B$82+'Input for bundle selection'!$B$84,IF(H135="x",'Input for bundle selection'!$B$83,IF(I135="x",'Input for bundle selection'!$B$83+'Input for bundle selection'!$B$84,0))))+J135*'Input for bundle selection'!$B$85+K135*'Input for bundle selection'!$B$86+L135*'Input for bundle selection'!$B$87+IF(R135="x",SUM(J135:L135)*'Input for bundle selection'!$B$88,0)</f>
        <v>3299</v>
      </c>
      <c r="D135" s="54"/>
      <c r="E135" s="54" t="s">
        <v>47</v>
      </c>
      <c r="F135" s="54"/>
      <c r="G135" s="53"/>
      <c r="H135" s="54"/>
      <c r="I135" s="54" t="s">
        <v>47</v>
      </c>
      <c r="J135" s="54">
        <v>3</v>
      </c>
      <c r="K135" s="54"/>
      <c r="L135" s="54"/>
      <c r="M135" s="54">
        <f t="shared" si="2"/>
        <v>3</v>
      </c>
      <c r="N135" s="54" t="str">
        <f t="shared" si="3"/>
        <v/>
      </c>
      <c r="O135" s="54" t="str">
        <f t="shared" ref="O135:O177" si="7">IF(OR(SUM(K135:L135)=2,SUM(K135:L135)=4),SUM(K135:L135)/2,IF(SUM(K135:L135)=3,1,""))</f>
        <v/>
      </c>
      <c r="P135" s="54" t="str">
        <f t="shared" si="4"/>
        <v/>
      </c>
      <c r="Q135" s="54" t="s">
        <v>47</v>
      </c>
      <c r="R135" s="54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19.8" x14ac:dyDescent="0.7">
      <c r="A136" s="53" t="str">
        <f t="shared" si="0"/>
        <v>PDBBB0BC00FFF0-0</v>
      </c>
      <c r="B136" s="53" t="str">
        <f t="shared" si="1"/>
        <v>Catchbox Plus System with 4 channel Hub DSP receiver with Networking and DANTE 3 Clip incl chargers, Standard - Red</v>
      </c>
      <c r="C136" s="60">
        <f>IF(F136="x",'Input for bundle selection'!$B$82,IF(G136="x",'Input for bundle selection'!$B$82+'Input for bundle selection'!$B$84,IF(H136="x",'Input for bundle selection'!$B$83,IF(I136="x",'Input for bundle selection'!$B$83+'Input for bundle selection'!$B$84,0))))+J136*'Input for bundle selection'!$B$85+K136*'Input for bundle selection'!$B$86+L136*'Input for bundle selection'!$B$87+IF(R136="x",SUM(J136:L136)*'Input for bundle selection'!$B$88,0)</f>
        <v>2999</v>
      </c>
      <c r="D136" s="54"/>
      <c r="E136" s="54" t="s">
        <v>47</v>
      </c>
      <c r="F136" s="54"/>
      <c r="G136" s="53"/>
      <c r="H136" s="54"/>
      <c r="I136" s="54" t="s">
        <v>47</v>
      </c>
      <c r="J136" s="54"/>
      <c r="K136" s="54">
        <v>3</v>
      </c>
      <c r="L136" s="54"/>
      <c r="M136" s="54" t="str">
        <f t="shared" si="2"/>
        <v/>
      </c>
      <c r="N136" s="54">
        <f t="shared" si="3"/>
        <v>1</v>
      </c>
      <c r="O136" s="54">
        <f t="shared" si="7"/>
        <v>1</v>
      </c>
      <c r="P136" s="54">
        <f t="shared" si="4"/>
        <v>2</v>
      </c>
      <c r="Q136" s="54" t="s">
        <v>47</v>
      </c>
      <c r="R136" s="54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19.8" x14ac:dyDescent="0.7">
      <c r="A137" s="53" t="str">
        <f t="shared" si="0"/>
        <v>PDCCC0BC00KKK0-0</v>
      </c>
      <c r="B137" s="53" t="str">
        <f t="shared" si="1"/>
        <v>Catchbox Plus System with 4 channel Hub DSP receiver with Networking and DANTE 3 Stick incl chargers, Standard - Red</v>
      </c>
      <c r="C137" s="60">
        <f>IF(F137="x",'Input for bundle selection'!$B$82,IF(G137="x",'Input for bundle selection'!$B$82+'Input for bundle selection'!$B$84,IF(H137="x",'Input for bundle selection'!$B$83,IF(I137="x",'Input for bundle selection'!$B$83+'Input for bundle selection'!$B$84,0))))+J137*'Input for bundle selection'!$B$85+K137*'Input for bundle selection'!$B$86+L137*'Input for bundle selection'!$B$87+IF(R137="x",SUM(J137:L137)*'Input for bundle selection'!$B$88,0)</f>
        <v>3149</v>
      </c>
      <c r="D137" s="54"/>
      <c r="E137" s="54" t="s">
        <v>47</v>
      </c>
      <c r="F137" s="54"/>
      <c r="G137" s="53"/>
      <c r="H137" s="54"/>
      <c r="I137" s="54" t="s">
        <v>47</v>
      </c>
      <c r="J137" s="54"/>
      <c r="K137" s="54"/>
      <c r="L137" s="54">
        <v>3</v>
      </c>
      <c r="M137" s="54" t="str">
        <f t="shared" si="2"/>
        <v/>
      </c>
      <c r="N137" s="54">
        <f t="shared" si="3"/>
        <v>1</v>
      </c>
      <c r="O137" s="54">
        <f t="shared" si="7"/>
        <v>1</v>
      </c>
      <c r="P137" s="54">
        <f t="shared" si="4"/>
        <v>2</v>
      </c>
      <c r="Q137" s="54" t="s">
        <v>47</v>
      </c>
      <c r="R137" s="54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19.8" x14ac:dyDescent="0.7">
      <c r="A138" s="53" t="str">
        <f t="shared" si="0"/>
        <v>PDABC0AC00EJO0-0</v>
      </c>
      <c r="B138" s="53" t="str">
        <f t="shared" si="1"/>
        <v>Catchbox Plus System with 4 channel Hub DSP receiver with Networking and DANTE 1 Cube 1 Clip 1 Stick incl chargers, Custom</v>
      </c>
      <c r="C138" s="60">
        <f>IF(F138="x",'Input for bundle selection'!$B$82,IF(G138="x",'Input for bundle selection'!$B$82+'Input for bundle selection'!$B$84,IF(H138="x",'Input for bundle selection'!$B$83,IF(I138="x",'Input for bundle selection'!$B$83+'Input for bundle selection'!$B$84,0))))+J138*'Input for bundle selection'!$B$85+K138*'Input for bundle selection'!$B$86+L138*'Input for bundle selection'!$B$87+IF(R138="x",SUM(J138:L138)*'Input for bundle selection'!$B$88,0)</f>
        <v>3299</v>
      </c>
      <c r="D138" s="54"/>
      <c r="E138" s="54" t="s">
        <v>47</v>
      </c>
      <c r="F138" s="54"/>
      <c r="G138" s="53"/>
      <c r="H138" s="54"/>
      <c r="I138" s="54" t="s">
        <v>47</v>
      </c>
      <c r="J138" s="54">
        <v>1</v>
      </c>
      <c r="K138" s="54">
        <v>1</v>
      </c>
      <c r="L138" s="54">
        <v>1</v>
      </c>
      <c r="M138" s="54">
        <f t="shared" si="2"/>
        <v>1</v>
      </c>
      <c r="N138" s="54" t="str">
        <f t="shared" si="3"/>
        <v/>
      </c>
      <c r="O138" s="54">
        <f t="shared" si="7"/>
        <v>1</v>
      </c>
      <c r="P138" s="54">
        <f t="shared" si="4"/>
        <v>1</v>
      </c>
      <c r="Q138" s="54"/>
      <c r="R138" s="54" t="s">
        <v>47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19.8" x14ac:dyDescent="0.7">
      <c r="A139" s="53" t="str">
        <f t="shared" si="0"/>
        <v>PDAAB0AAB0EEJ0-0</v>
      </c>
      <c r="B139" s="53" t="str">
        <f t="shared" si="1"/>
        <v>Catchbox Plus System with 4 channel Hub DSP receiver with Networking and DANTE 2 Cube 1 Clip incl chargers, Custom</v>
      </c>
      <c r="C139" s="60">
        <f>IF(F139="x",'Input for bundle selection'!$B$82,IF(G139="x",'Input for bundle selection'!$B$82+'Input for bundle selection'!$B$84,IF(H139="x",'Input for bundle selection'!$B$83,IF(I139="x",'Input for bundle selection'!$B$83+'Input for bundle selection'!$B$84,0))))+J139*'Input for bundle selection'!$B$85+K139*'Input for bundle selection'!$B$86+L139*'Input for bundle selection'!$B$87+IF(R139="x",SUM(J139:L139)*'Input for bundle selection'!$B$88,0)</f>
        <v>3349</v>
      </c>
      <c r="D139" s="54"/>
      <c r="E139" s="54" t="s">
        <v>47</v>
      </c>
      <c r="F139" s="54"/>
      <c r="G139" s="53"/>
      <c r="H139" s="54"/>
      <c r="I139" s="54" t="s">
        <v>47</v>
      </c>
      <c r="J139" s="54">
        <v>2</v>
      </c>
      <c r="K139" s="54">
        <v>1</v>
      </c>
      <c r="L139" s="54"/>
      <c r="M139" s="54">
        <f t="shared" si="2"/>
        <v>2</v>
      </c>
      <c r="N139" s="54">
        <f t="shared" si="3"/>
        <v>1</v>
      </c>
      <c r="O139" s="54" t="str">
        <f t="shared" si="7"/>
        <v/>
      </c>
      <c r="P139" s="54">
        <f t="shared" si="4"/>
        <v>1</v>
      </c>
      <c r="Q139" s="54"/>
      <c r="R139" s="54" t="s">
        <v>47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19.8" x14ac:dyDescent="0.7">
      <c r="A140" s="53" t="str">
        <f t="shared" si="0"/>
        <v>PDABB0AC00EJJ0-0</v>
      </c>
      <c r="B140" s="53" t="str">
        <f t="shared" si="1"/>
        <v>Catchbox Plus System with 4 channel Hub DSP receiver with Networking and DANTE 1 Cube 2 Clip incl chargers, Custom</v>
      </c>
      <c r="C140" s="60">
        <f>IF(F140="x",'Input for bundle selection'!$B$82,IF(G140="x",'Input for bundle selection'!$B$82+'Input for bundle selection'!$B$84,IF(H140="x",'Input for bundle selection'!$B$83,IF(I140="x",'Input for bundle selection'!$B$83+'Input for bundle selection'!$B$84,0))))+J140*'Input for bundle selection'!$B$85+K140*'Input for bundle selection'!$B$86+L140*'Input for bundle selection'!$B$87+IF(R140="x",SUM(J140:L140)*'Input for bundle selection'!$B$88,0)</f>
        <v>3249</v>
      </c>
      <c r="D140" s="54"/>
      <c r="E140" s="54" t="s">
        <v>47</v>
      </c>
      <c r="F140" s="54"/>
      <c r="G140" s="53"/>
      <c r="H140" s="54"/>
      <c r="I140" s="54" t="s">
        <v>47</v>
      </c>
      <c r="J140" s="54">
        <v>1</v>
      </c>
      <c r="K140" s="54">
        <v>2</v>
      </c>
      <c r="L140" s="54"/>
      <c r="M140" s="54">
        <f t="shared" si="2"/>
        <v>1</v>
      </c>
      <c r="N140" s="54" t="str">
        <f t="shared" si="3"/>
        <v/>
      </c>
      <c r="O140" s="54">
        <f t="shared" si="7"/>
        <v>1</v>
      </c>
      <c r="P140" s="54">
        <f t="shared" si="4"/>
        <v>1</v>
      </c>
      <c r="Q140" s="54"/>
      <c r="R140" s="54" t="s">
        <v>47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19.8" x14ac:dyDescent="0.7">
      <c r="A141" s="53" t="str">
        <f t="shared" si="0"/>
        <v>PDACC0AC00EOO0-0</v>
      </c>
      <c r="B141" s="53" t="str">
        <f t="shared" si="1"/>
        <v>Catchbox Plus System with 4 channel Hub DSP receiver with Networking and DANTE 1 Cube 2 Stick incl chargers, Custom</v>
      </c>
      <c r="C141" s="60">
        <f>IF(F141="x",'Input for bundle selection'!$B$82,IF(G141="x",'Input for bundle selection'!$B$82+'Input for bundle selection'!$B$84,IF(H141="x",'Input for bundle selection'!$B$83,IF(I141="x",'Input for bundle selection'!$B$83+'Input for bundle selection'!$B$84,0))))+J141*'Input for bundle selection'!$B$85+K141*'Input for bundle selection'!$B$86+L141*'Input for bundle selection'!$B$87+IF(R141="x",SUM(J141:L141)*'Input for bundle selection'!$B$88,0)</f>
        <v>3349</v>
      </c>
      <c r="D141" s="54"/>
      <c r="E141" s="54" t="s">
        <v>47</v>
      </c>
      <c r="F141" s="54"/>
      <c r="G141" s="53"/>
      <c r="H141" s="54"/>
      <c r="I141" s="54" t="s">
        <v>47</v>
      </c>
      <c r="J141" s="54">
        <v>1</v>
      </c>
      <c r="K141" s="54"/>
      <c r="L141" s="54">
        <v>2</v>
      </c>
      <c r="M141" s="54">
        <f t="shared" si="2"/>
        <v>1</v>
      </c>
      <c r="N141" s="54" t="str">
        <f t="shared" si="3"/>
        <v/>
      </c>
      <c r="O141" s="54">
        <f t="shared" si="7"/>
        <v>1</v>
      </c>
      <c r="P141" s="54">
        <f t="shared" si="4"/>
        <v>1</v>
      </c>
      <c r="Q141" s="54"/>
      <c r="R141" s="54" t="s">
        <v>47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19.8" x14ac:dyDescent="0.7">
      <c r="A142" s="53" t="str">
        <f t="shared" si="0"/>
        <v>PDAAC0AAB0EEO0-0</v>
      </c>
      <c r="B142" s="53" t="str">
        <f t="shared" si="1"/>
        <v>Catchbox Plus System with 4 channel Hub DSP receiver with Networking and DANTE 2 Cube 1 Stick incl chargers, Custom</v>
      </c>
      <c r="C142" s="60">
        <f>IF(F142="x",'Input for bundle selection'!$B$82,IF(G142="x",'Input for bundle selection'!$B$82+'Input for bundle selection'!$B$84,IF(H142="x",'Input for bundle selection'!$B$83,IF(I142="x",'Input for bundle selection'!$B$83+'Input for bundle selection'!$B$84,0))))+J142*'Input for bundle selection'!$B$85+K142*'Input for bundle selection'!$B$86+L142*'Input for bundle selection'!$B$87+IF(R142="x",SUM(J142:L142)*'Input for bundle selection'!$B$88,0)</f>
        <v>3399</v>
      </c>
      <c r="D142" s="54"/>
      <c r="E142" s="54" t="s">
        <v>47</v>
      </c>
      <c r="F142" s="54"/>
      <c r="G142" s="53"/>
      <c r="H142" s="54"/>
      <c r="I142" s="54" t="s">
        <v>47</v>
      </c>
      <c r="J142" s="54">
        <v>2</v>
      </c>
      <c r="K142" s="54"/>
      <c r="L142" s="54">
        <v>1</v>
      </c>
      <c r="M142" s="54">
        <f t="shared" si="2"/>
        <v>2</v>
      </c>
      <c r="N142" s="54">
        <f t="shared" si="3"/>
        <v>1</v>
      </c>
      <c r="O142" s="54" t="str">
        <f t="shared" si="7"/>
        <v/>
      </c>
      <c r="P142" s="54">
        <f t="shared" si="4"/>
        <v>1</v>
      </c>
      <c r="Q142" s="54"/>
      <c r="R142" s="54" t="s">
        <v>47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19.8" x14ac:dyDescent="0.7">
      <c r="A143" s="53" t="str">
        <f t="shared" si="0"/>
        <v>PDBCC0BC00JOO0-0</v>
      </c>
      <c r="B143" s="53" t="str">
        <f t="shared" si="1"/>
        <v>Catchbox Plus System with 4 channel Hub DSP receiver with Networking and DANTE 1 Clip 2 Stick incl chargers, Custom</v>
      </c>
      <c r="C143" s="60">
        <f>IF(F143="x",'Input for bundle selection'!$B$82,IF(G143="x",'Input for bundle selection'!$B$82+'Input for bundle selection'!$B$84,IF(H143="x",'Input for bundle selection'!$B$83,IF(I143="x",'Input for bundle selection'!$B$83+'Input for bundle selection'!$B$84,0))))+J143*'Input for bundle selection'!$B$85+K143*'Input for bundle selection'!$B$86+L143*'Input for bundle selection'!$B$87+IF(R143="x",SUM(J143:L143)*'Input for bundle selection'!$B$88,0)</f>
        <v>3249</v>
      </c>
      <c r="D143" s="54"/>
      <c r="E143" s="54" t="s">
        <v>47</v>
      </c>
      <c r="F143" s="54"/>
      <c r="G143" s="53"/>
      <c r="H143" s="54"/>
      <c r="I143" s="54" t="s">
        <v>47</v>
      </c>
      <c r="J143" s="54"/>
      <c r="K143" s="54">
        <v>1</v>
      </c>
      <c r="L143" s="54">
        <v>2</v>
      </c>
      <c r="M143" s="54" t="str">
        <f t="shared" si="2"/>
        <v/>
      </c>
      <c r="N143" s="54">
        <f t="shared" si="3"/>
        <v>1</v>
      </c>
      <c r="O143" s="54">
        <f t="shared" si="7"/>
        <v>1</v>
      </c>
      <c r="P143" s="54">
        <f t="shared" si="4"/>
        <v>2</v>
      </c>
      <c r="Q143" s="54"/>
      <c r="R143" s="54" t="s">
        <v>47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19.8" x14ac:dyDescent="0.7">
      <c r="A144" s="53" t="str">
        <f t="shared" si="0"/>
        <v>PDBBC0BC00JJO0-0</v>
      </c>
      <c r="B144" s="53" t="str">
        <f t="shared" si="1"/>
        <v>Catchbox Plus System with 4 channel Hub DSP receiver with Networking and DANTE 2 Clip 1 Stick incl chargers, Custom</v>
      </c>
      <c r="C144" s="60">
        <f>IF(F144="x",'Input for bundle selection'!$B$82,IF(G144="x",'Input for bundle selection'!$B$82+'Input for bundle selection'!$B$84,IF(H144="x",'Input for bundle selection'!$B$83,IF(I144="x",'Input for bundle selection'!$B$83+'Input for bundle selection'!$B$84,0))))+J144*'Input for bundle selection'!$B$85+K144*'Input for bundle selection'!$B$86+L144*'Input for bundle selection'!$B$87+IF(R144="x",SUM(J144:L144)*'Input for bundle selection'!$B$88,0)</f>
        <v>3199</v>
      </c>
      <c r="D144" s="54"/>
      <c r="E144" s="54" t="s">
        <v>47</v>
      </c>
      <c r="F144" s="54"/>
      <c r="G144" s="53"/>
      <c r="H144" s="54"/>
      <c r="I144" s="54" t="s">
        <v>47</v>
      </c>
      <c r="J144" s="54"/>
      <c r="K144" s="54">
        <v>2</v>
      </c>
      <c r="L144" s="54">
        <v>1</v>
      </c>
      <c r="M144" s="54" t="str">
        <f t="shared" si="2"/>
        <v/>
      </c>
      <c r="N144" s="54">
        <f t="shared" si="3"/>
        <v>1</v>
      </c>
      <c r="O144" s="54">
        <f t="shared" si="7"/>
        <v>1</v>
      </c>
      <c r="P144" s="54">
        <f t="shared" si="4"/>
        <v>2</v>
      </c>
      <c r="Q144" s="54"/>
      <c r="R144" s="54" t="s">
        <v>47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9.8" x14ac:dyDescent="0.7">
      <c r="A145" s="53" t="str">
        <f t="shared" si="0"/>
        <v>PDAAA0AAA0EEE0-0</v>
      </c>
      <c r="B145" s="53" t="str">
        <f t="shared" si="1"/>
        <v>Catchbox Plus System with 4 channel Hub DSP receiver with Networking and DANTE 3 Cube incl chargers, Custom</v>
      </c>
      <c r="C145" s="60">
        <f>IF(F145="x",'Input for bundle selection'!$B$82,IF(G145="x",'Input for bundle selection'!$B$82+'Input for bundle selection'!$B$84,IF(H145="x",'Input for bundle selection'!$B$83,IF(I145="x",'Input for bundle selection'!$B$83+'Input for bundle selection'!$B$84,0))))+J145*'Input for bundle selection'!$B$85+K145*'Input for bundle selection'!$B$86+L145*'Input for bundle selection'!$B$87+IF(R145="x",SUM(J145:L145)*'Input for bundle selection'!$B$88,0)</f>
        <v>3449</v>
      </c>
      <c r="D145" s="54"/>
      <c r="E145" s="54" t="s">
        <v>47</v>
      </c>
      <c r="F145" s="54"/>
      <c r="G145" s="53"/>
      <c r="H145" s="54"/>
      <c r="I145" s="54" t="s">
        <v>47</v>
      </c>
      <c r="J145" s="54">
        <v>3</v>
      </c>
      <c r="K145" s="54"/>
      <c r="L145" s="54"/>
      <c r="M145" s="54">
        <f t="shared" si="2"/>
        <v>3</v>
      </c>
      <c r="N145" s="54" t="str">
        <f t="shared" si="3"/>
        <v/>
      </c>
      <c r="O145" s="54" t="str">
        <f t="shared" si="7"/>
        <v/>
      </c>
      <c r="P145" s="54" t="str">
        <f t="shared" si="4"/>
        <v/>
      </c>
      <c r="Q145" s="54"/>
      <c r="R145" s="54" t="s">
        <v>47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19.8" x14ac:dyDescent="0.7">
      <c r="A146" s="53" t="str">
        <f t="shared" si="0"/>
        <v>PDBBB0BC00JJJ0-0</v>
      </c>
      <c r="B146" s="53" t="str">
        <f t="shared" si="1"/>
        <v>Catchbox Plus System with 4 channel Hub DSP receiver with Networking and DANTE 3 Clip incl chargers, Custom</v>
      </c>
      <c r="C146" s="60">
        <f>IF(F146="x",'Input for bundle selection'!$B$82,IF(G146="x",'Input for bundle selection'!$B$82+'Input for bundle selection'!$B$84,IF(H146="x",'Input for bundle selection'!$B$83,IF(I146="x",'Input for bundle selection'!$B$83+'Input for bundle selection'!$B$84,0))))+J146*'Input for bundle selection'!$B$85+K146*'Input for bundle selection'!$B$86+L146*'Input for bundle selection'!$B$87+IF(R146="x",SUM(J146:L146)*'Input for bundle selection'!$B$88,0)</f>
        <v>3149</v>
      </c>
      <c r="D146" s="54"/>
      <c r="E146" s="54" t="s">
        <v>47</v>
      </c>
      <c r="F146" s="54"/>
      <c r="G146" s="53"/>
      <c r="H146" s="54"/>
      <c r="I146" s="54" t="s">
        <v>47</v>
      </c>
      <c r="J146" s="54"/>
      <c r="K146" s="54">
        <v>3</v>
      </c>
      <c r="L146" s="54"/>
      <c r="M146" s="54" t="str">
        <f t="shared" si="2"/>
        <v/>
      </c>
      <c r="N146" s="54">
        <f t="shared" si="3"/>
        <v>1</v>
      </c>
      <c r="O146" s="54">
        <f t="shared" si="7"/>
        <v>1</v>
      </c>
      <c r="P146" s="54">
        <f t="shared" si="4"/>
        <v>2</v>
      </c>
      <c r="Q146" s="54"/>
      <c r="R146" s="54" t="s">
        <v>47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19.8" x14ac:dyDescent="0.7">
      <c r="A147" s="53" t="str">
        <f t="shared" si="0"/>
        <v>PDCCC0BC00OOO0-0</v>
      </c>
      <c r="B147" s="53" t="str">
        <f t="shared" si="1"/>
        <v>Catchbox Plus System with 4 channel Hub DSP receiver with Networking and DANTE 3 Stick incl chargers, Custom</v>
      </c>
      <c r="C147" s="60">
        <f>IF(F147="x",'Input for bundle selection'!$B$82,IF(G147="x",'Input for bundle selection'!$B$82+'Input for bundle selection'!$B$84,IF(H147="x",'Input for bundle selection'!$B$83,IF(I147="x",'Input for bundle selection'!$B$83+'Input for bundle selection'!$B$84,0))))+J147*'Input for bundle selection'!$B$85+K147*'Input for bundle selection'!$B$86+L147*'Input for bundle selection'!$B$87+IF(R147="x",SUM(J147:L147)*'Input for bundle selection'!$B$88,0)</f>
        <v>3299</v>
      </c>
      <c r="D147" s="54"/>
      <c r="E147" s="54" t="s">
        <v>47</v>
      </c>
      <c r="F147" s="54"/>
      <c r="G147" s="53"/>
      <c r="H147" s="54"/>
      <c r="I147" s="54" t="s">
        <v>47</v>
      </c>
      <c r="J147" s="54"/>
      <c r="K147" s="54"/>
      <c r="L147" s="54">
        <v>3</v>
      </c>
      <c r="M147" s="54" t="str">
        <f t="shared" si="2"/>
        <v/>
      </c>
      <c r="N147" s="54">
        <f t="shared" si="3"/>
        <v>1</v>
      </c>
      <c r="O147" s="54">
        <f t="shared" si="7"/>
        <v>1</v>
      </c>
      <c r="P147" s="54">
        <f t="shared" si="4"/>
        <v>2</v>
      </c>
      <c r="Q147" s="54"/>
      <c r="R147" s="54" t="s">
        <v>47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9.8" x14ac:dyDescent="0.7">
      <c r="A148" s="53" t="str">
        <f t="shared" si="0"/>
        <v>PDABCCABC0AFKK-0</v>
      </c>
      <c r="B148" s="53" t="str">
        <f t="shared" si="1"/>
        <v>Catchbox Plus System with 4 channel Hub DSP receiver with Networking and DANTE 1 Cube 1 Clip 2 Stick incl chargers, Standard - Red</v>
      </c>
      <c r="C148" s="60">
        <f>IF(F148="x",'Input for bundle selection'!$B$82,IF(G148="x",'Input for bundle selection'!$B$82+'Input for bundle selection'!$B$84,IF(H148="x",'Input for bundle selection'!$B$83,IF(I148="x",'Input for bundle selection'!$B$83+'Input for bundle selection'!$B$84,0))))+J148*'Input for bundle selection'!$B$85+K148*'Input for bundle selection'!$B$86+L148*'Input for bundle selection'!$B$87+IF(R148="x",SUM(J148:L148)*'Input for bundle selection'!$B$88,0)</f>
        <v>3649</v>
      </c>
      <c r="D148" s="54"/>
      <c r="E148" s="54" t="s">
        <v>47</v>
      </c>
      <c r="F148" s="54"/>
      <c r="G148" s="53"/>
      <c r="H148" s="54"/>
      <c r="I148" s="54" t="s">
        <v>47</v>
      </c>
      <c r="J148" s="54">
        <v>1</v>
      </c>
      <c r="K148" s="54">
        <v>1</v>
      </c>
      <c r="L148" s="54">
        <v>2</v>
      </c>
      <c r="M148" s="54">
        <f t="shared" si="2"/>
        <v>1</v>
      </c>
      <c r="N148" s="54">
        <f t="shared" si="3"/>
        <v>1</v>
      </c>
      <c r="O148" s="54">
        <f t="shared" si="7"/>
        <v>1</v>
      </c>
      <c r="P148" s="54">
        <f t="shared" si="4"/>
        <v>2</v>
      </c>
      <c r="Q148" s="54" t="s">
        <v>47</v>
      </c>
      <c r="R148" s="54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19.8" x14ac:dyDescent="0.7">
      <c r="A149" s="53" t="str">
        <f t="shared" si="0"/>
        <v>PDABBCABC0AFFK-0</v>
      </c>
      <c r="B149" s="53" t="str">
        <f t="shared" si="1"/>
        <v>Catchbox Plus System with 4 channel Hub DSP receiver with Networking and DANTE 1 Cube 2 Clip 1 Stick incl chargers, Standard - Red</v>
      </c>
      <c r="C149" s="60">
        <f>IF(F149="x",'Input for bundle selection'!$B$82,IF(G149="x",'Input for bundle selection'!$B$82+'Input for bundle selection'!$B$84,IF(H149="x",'Input for bundle selection'!$B$83,IF(I149="x",'Input for bundle selection'!$B$83+'Input for bundle selection'!$B$84,0))))+J149*'Input for bundle selection'!$B$85+K149*'Input for bundle selection'!$B$86+L149*'Input for bundle selection'!$B$87+IF(R149="x",SUM(J149:L149)*'Input for bundle selection'!$B$88,0)</f>
        <v>3599</v>
      </c>
      <c r="D149" s="54"/>
      <c r="E149" s="54" t="s">
        <v>47</v>
      </c>
      <c r="F149" s="54"/>
      <c r="G149" s="53"/>
      <c r="H149" s="54"/>
      <c r="I149" s="54" t="s">
        <v>47</v>
      </c>
      <c r="J149" s="54">
        <v>1</v>
      </c>
      <c r="K149" s="54">
        <v>2</v>
      </c>
      <c r="L149" s="54">
        <v>1</v>
      </c>
      <c r="M149" s="54">
        <f t="shared" si="2"/>
        <v>1</v>
      </c>
      <c r="N149" s="54">
        <f t="shared" si="3"/>
        <v>1</v>
      </c>
      <c r="O149" s="54">
        <f t="shared" si="7"/>
        <v>1</v>
      </c>
      <c r="P149" s="54">
        <f t="shared" si="4"/>
        <v>2</v>
      </c>
      <c r="Q149" s="54" t="s">
        <v>47</v>
      </c>
      <c r="R149" s="54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9.8" x14ac:dyDescent="0.7">
      <c r="A150" s="53" t="str">
        <f t="shared" si="0"/>
        <v>PDBBCCCC00FFKK-0</v>
      </c>
      <c r="B150" s="53" t="str">
        <f t="shared" si="1"/>
        <v>Catchbox Plus System with 4 channel Hub DSP receiver with Networking and DANTE 2 Clip 2 Stick incl chargers, Standard - Red</v>
      </c>
      <c r="C150" s="60">
        <f>IF(F150="x",'Input for bundle selection'!$B$82,IF(G150="x",'Input for bundle selection'!$B$82+'Input for bundle selection'!$B$84,IF(H150="x",'Input for bundle selection'!$B$83,IF(I150="x",'Input for bundle selection'!$B$83+'Input for bundle selection'!$B$84,0))))+J150*'Input for bundle selection'!$B$85+K150*'Input for bundle selection'!$B$86+L150*'Input for bundle selection'!$B$87+IF(R150="x",SUM(J150:L150)*'Input for bundle selection'!$B$88,0)</f>
        <v>3549</v>
      </c>
      <c r="D150" s="54"/>
      <c r="E150" s="54" t="s">
        <v>47</v>
      </c>
      <c r="F150" s="54"/>
      <c r="G150" s="53"/>
      <c r="H150" s="54"/>
      <c r="I150" s="54" t="s">
        <v>47</v>
      </c>
      <c r="J150" s="54"/>
      <c r="K150" s="54">
        <v>2</v>
      </c>
      <c r="L150" s="54">
        <v>2</v>
      </c>
      <c r="M150" s="54" t="str">
        <f t="shared" si="2"/>
        <v/>
      </c>
      <c r="N150" s="54" t="str">
        <f t="shared" si="3"/>
        <v/>
      </c>
      <c r="O150" s="54">
        <f t="shared" si="7"/>
        <v>2</v>
      </c>
      <c r="P150" s="54">
        <f t="shared" si="4"/>
        <v>2</v>
      </c>
      <c r="Q150" s="54" t="s">
        <v>47</v>
      </c>
      <c r="R150" s="54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9.8" x14ac:dyDescent="0.7">
      <c r="A151" s="53" t="str">
        <f t="shared" si="0"/>
        <v>PDAAABAAABAAAF-0</v>
      </c>
      <c r="B151" s="53" t="str">
        <f t="shared" si="1"/>
        <v>Catchbox Plus System with 4 channel Hub DSP receiver with Networking and DANTE 3 Cube 1 Clip incl chargers, Standard - Red</v>
      </c>
      <c r="C151" s="60">
        <f>IF(F151="x",'Input for bundle selection'!$B$82,IF(G151="x",'Input for bundle selection'!$B$82+'Input for bundle selection'!$B$84,IF(H151="x",'Input for bundle selection'!$B$83,IF(I151="x",'Input for bundle selection'!$B$83+'Input for bundle selection'!$B$84,0))))+J151*'Input for bundle selection'!$B$85+K151*'Input for bundle selection'!$B$86+L151*'Input for bundle selection'!$B$87+IF(R151="x",SUM(J151:L151)*'Input for bundle selection'!$B$88,0)</f>
        <v>3749</v>
      </c>
      <c r="D151" s="54"/>
      <c r="E151" s="54" t="s">
        <v>47</v>
      </c>
      <c r="F151" s="54"/>
      <c r="G151" s="53"/>
      <c r="H151" s="54"/>
      <c r="I151" s="54" t="s">
        <v>47</v>
      </c>
      <c r="J151" s="54">
        <v>3</v>
      </c>
      <c r="K151" s="54">
        <v>1</v>
      </c>
      <c r="L151" s="54"/>
      <c r="M151" s="54">
        <f t="shared" si="2"/>
        <v>3</v>
      </c>
      <c r="N151" s="54">
        <f t="shared" si="3"/>
        <v>1</v>
      </c>
      <c r="O151" s="54" t="str">
        <f t="shared" si="7"/>
        <v/>
      </c>
      <c r="P151" s="54">
        <f t="shared" si="4"/>
        <v>1</v>
      </c>
      <c r="Q151" s="54" t="s">
        <v>47</v>
      </c>
      <c r="R151" s="54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19.8" x14ac:dyDescent="0.7">
      <c r="A152" s="53" t="str">
        <f t="shared" si="0"/>
        <v>PDAAACAAABAAAK-0</v>
      </c>
      <c r="B152" s="53" t="str">
        <f t="shared" si="1"/>
        <v>Catchbox Plus System with 4 channel Hub DSP receiver with Networking and DANTE 3 Cube 1 Stick incl chargers, Standard - Red</v>
      </c>
      <c r="C152" s="60">
        <f>IF(F152="x",'Input for bundle selection'!$B$82,IF(G152="x",'Input for bundle selection'!$B$82+'Input for bundle selection'!$B$84,IF(H152="x",'Input for bundle selection'!$B$83,IF(I152="x",'Input for bundle selection'!$B$83+'Input for bundle selection'!$B$84,0))))+J152*'Input for bundle selection'!$B$85+K152*'Input for bundle selection'!$B$86+L152*'Input for bundle selection'!$B$87+IF(R152="x",SUM(J152:L152)*'Input for bundle selection'!$B$88,0)</f>
        <v>3799</v>
      </c>
      <c r="D152" s="54"/>
      <c r="E152" s="54" t="s">
        <v>47</v>
      </c>
      <c r="F152" s="54"/>
      <c r="G152" s="53"/>
      <c r="H152" s="54"/>
      <c r="I152" s="54" t="s">
        <v>47</v>
      </c>
      <c r="J152" s="54">
        <v>3</v>
      </c>
      <c r="K152" s="54"/>
      <c r="L152" s="54">
        <v>1</v>
      </c>
      <c r="M152" s="54">
        <f t="shared" si="2"/>
        <v>3</v>
      </c>
      <c r="N152" s="54">
        <f t="shared" si="3"/>
        <v>1</v>
      </c>
      <c r="O152" s="54" t="str">
        <f t="shared" si="7"/>
        <v/>
      </c>
      <c r="P152" s="54">
        <f t="shared" si="4"/>
        <v>1</v>
      </c>
      <c r="Q152" s="54" t="s">
        <v>47</v>
      </c>
      <c r="R152" s="54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19.8" x14ac:dyDescent="0.7">
      <c r="A153" s="53" t="str">
        <f t="shared" si="0"/>
        <v>PDABBBABC0AFFF-0</v>
      </c>
      <c r="B153" s="53" t="str">
        <f t="shared" si="1"/>
        <v>Catchbox Plus System with 4 channel Hub DSP receiver with Networking and DANTE 1 Cube 3 Clip incl chargers, Standard - Red</v>
      </c>
      <c r="C153" s="60">
        <f>IF(F153="x",'Input for bundle selection'!$B$82,IF(G153="x",'Input for bundle selection'!$B$82+'Input for bundle selection'!$B$84,IF(H153="x",'Input for bundle selection'!$B$83,IF(I153="x",'Input for bundle selection'!$B$83+'Input for bundle selection'!$B$84,0))))+J153*'Input for bundle selection'!$B$85+K153*'Input for bundle selection'!$B$86+L153*'Input for bundle selection'!$B$87+IF(R153="x",SUM(J153:L153)*'Input for bundle selection'!$B$88,0)</f>
        <v>3549</v>
      </c>
      <c r="D153" s="54"/>
      <c r="E153" s="54" t="s">
        <v>47</v>
      </c>
      <c r="F153" s="54"/>
      <c r="G153" s="53"/>
      <c r="H153" s="54"/>
      <c r="I153" s="54" t="s">
        <v>47</v>
      </c>
      <c r="J153" s="54">
        <v>1</v>
      </c>
      <c r="K153" s="54">
        <v>3</v>
      </c>
      <c r="L153" s="54"/>
      <c r="M153" s="54">
        <f t="shared" si="2"/>
        <v>1</v>
      </c>
      <c r="N153" s="54">
        <f t="shared" si="3"/>
        <v>1</v>
      </c>
      <c r="O153" s="54">
        <f t="shared" si="7"/>
        <v>1</v>
      </c>
      <c r="P153" s="54">
        <f t="shared" si="4"/>
        <v>2</v>
      </c>
      <c r="Q153" s="54" t="s">
        <v>47</v>
      </c>
      <c r="R153" s="54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19.8" x14ac:dyDescent="0.7">
      <c r="A154" s="53" t="str">
        <f t="shared" si="0"/>
        <v>PDBBBCCC00FFFK-0</v>
      </c>
      <c r="B154" s="53" t="str">
        <f t="shared" si="1"/>
        <v>Catchbox Plus System with 4 channel Hub DSP receiver with Networking and DANTE 3 Clip 1 Stick incl chargers, Standard - Red</v>
      </c>
      <c r="C154" s="60">
        <f>IF(F154="x",'Input for bundle selection'!$B$82,IF(G154="x",'Input for bundle selection'!$B$82+'Input for bundle selection'!$B$84,IF(H154="x",'Input for bundle selection'!$B$83,IF(I154="x",'Input for bundle selection'!$B$83+'Input for bundle selection'!$B$84,0))))+J154*'Input for bundle selection'!$B$85+K154*'Input for bundle selection'!$B$86+L154*'Input for bundle selection'!$B$87+IF(R154="x",SUM(J154:L154)*'Input for bundle selection'!$B$88,0)</f>
        <v>3499</v>
      </c>
      <c r="D154" s="54"/>
      <c r="E154" s="54" t="s">
        <v>47</v>
      </c>
      <c r="F154" s="54"/>
      <c r="G154" s="53"/>
      <c r="H154" s="54"/>
      <c r="I154" s="54" t="s">
        <v>47</v>
      </c>
      <c r="J154" s="54"/>
      <c r="K154" s="54">
        <v>3</v>
      </c>
      <c r="L154" s="54">
        <v>1</v>
      </c>
      <c r="M154" s="54" t="str">
        <f t="shared" si="2"/>
        <v/>
      </c>
      <c r="N154" s="54" t="str">
        <f t="shared" si="3"/>
        <v/>
      </c>
      <c r="O154" s="54">
        <f t="shared" si="7"/>
        <v>2</v>
      </c>
      <c r="P154" s="54">
        <f t="shared" si="4"/>
        <v>2</v>
      </c>
      <c r="Q154" s="54" t="s">
        <v>47</v>
      </c>
      <c r="R154" s="54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19.8" x14ac:dyDescent="0.7">
      <c r="A155" s="53" t="str">
        <f t="shared" si="0"/>
        <v>PDACCCABC0AKKK-0</v>
      </c>
      <c r="B155" s="53" t="str">
        <f t="shared" si="1"/>
        <v>Catchbox Plus System with 4 channel Hub DSP receiver with Networking and DANTE 1 Cube 3 Stick incl chargers, Standard - Red</v>
      </c>
      <c r="C155" s="60">
        <f>IF(F155="x",'Input for bundle selection'!$B$82,IF(G155="x",'Input for bundle selection'!$B$82+'Input for bundle selection'!$B$84,IF(H155="x",'Input for bundle selection'!$B$83,IF(I155="x",'Input for bundle selection'!$B$83+'Input for bundle selection'!$B$84,0))))+J155*'Input for bundle selection'!$B$85+K155*'Input for bundle selection'!$B$86+L155*'Input for bundle selection'!$B$87+IF(R155="x",SUM(J155:L155)*'Input for bundle selection'!$B$88,0)</f>
        <v>3699</v>
      </c>
      <c r="D155" s="54"/>
      <c r="E155" s="54" t="s">
        <v>47</v>
      </c>
      <c r="F155" s="54"/>
      <c r="G155" s="53"/>
      <c r="H155" s="54"/>
      <c r="I155" s="54" t="s">
        <v>47</v>
      </c>
      <c r="J155" s="54">
        <v>1</v>
      </c>
      <c r="K155" s="54"/>
      <c r="L155" s="54">
        <v>3</v>
      </c>
      <c r="M155" s="54">
        <f t="shared" si="2"/>
        <v>1</v>
      </c>
      <c r="N155" s="54">
        <f t="shared" si="3"/>
        <v>1</v>
      </c>
      <c r="O155" s="54">
        <f t="shared" si="7"/>
        <v>1</v>
      </c>
      <c r="P155" s="54">
        <f t="shared" si="4"/>
        <v>2</v>
      </c>
      <c r="Q155" s="54" t="s">
        <v>47</v>
      </c>
      <c r="R155" s="54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19.8" x14ac:dyDescent="0.7">
      <c r="A156" s="53" t="str">
        <f t="shared" si="0"/>
        <v>PDBCCCCC00FKKK-0</v>
      </c>
      <c r="B156" s="53" t="str">
        <f t="shared" si="1"/>
        <v>Catchbox Plus System with 4 channel Hub DSP receiver with Networking and DANTE 1 Clip 3 Stick incl chargers, Standard - Red</v>
      </c>
      <c r="C156" s="60">
        <f>IF(F156="x",'Input for bundle selection'!$B$82,IF(G156="x",'Input for bundle selection'!$B$82+'Input for bundle selection'!$B$84,IF(H156="x",'Input for bundle selection'!$B$83,IF(I156="x",'Input for bundle selection'!$B$83+'Input for bundle selection'!$B$84,0))))+J156*'Input for bundle selection'!$B$85+K156*'Input for bundle selection'!$B$86+L156*'Input for bundle selection'!$B$87+IF(R156="x",SUM(J156:L156)*'Input for bundle selection'!$B$88,0)</f>
        <v>3599</v>
      </c>
      <c r="D156" s="54"/>
      <c r="E156" s="54" t="s">
        <v>47</v>
      </c>
      <c r="F156" s="54"/>
      <c r="G156" s="53"/>
      <c r="H156" s="54"/>
      <c r="I156" s="54" t="s">
        <v>47</v>
      </c>
      <c r="J156" s="54"/>
      <c r="K156" s="54">
        <v>1</v>
      </c>
      <c r="L156" s="54">
        <v>3</v>
      </c>
      <c r="M156" s="54" t="str">
        <f t="shared" si="2"/>
        <v/>
      </c>
      <c r="N156" s="54" t="str">
        <f t="shared" si="3"/>
        <v/>
      </c>
      <c r="O156" s="54">
        <f t="shared" si="7"/>
        <v>2</v>
      </c>
      <c r="P156" s="54">
        <f t="shared" si="4"/>
        <v>2</v>
      </c>
      <c r="Q156" s="54" t="s">
        <v>47</v>
      </c>
      <c r="R156" s="54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9.8" x14ac:dyDescent="0.7">
      <c r="A157" s="53" t="str">
        <f t="shared" si="0"/>
        <v>PDAAAAAAAAAAAA-0</v>
      </c>
      <c r="B157" s="53" t="str">
        <f t="shared" si="1"/>
        <v>Catchbox Plus System with 4 channel Hub DSP receiver with Networking and DANTE 4 Cube incl chargers, Standard - Red</v>
      </c>
      <c r="C157" s="60">
        <f>IF(F157="x",'Input for bundle selection'!$B$82,IF(G157="x",'Input for bundle selection'!$B$82+'Input for bundle selection'!$B$84,IF(H157="x",'Input for bundle selection'!$B$83,IF(I157="x",'Input for bundle selection'!$B$83+'Input for bundle selection'!$B$84,0))))+J157*'Input for bundle selection'!$B$85+K157*'Input for bundle selection'!$B$86+L157*'Input for bundle selection'!$B$87+IF(R157="x",SUM(J157:L157)*'Input for bundle selection'!$B$88,0)</f>
        <v>3849</v>
      </c>
      <c r="D157" s="54"/>
      <c r="E157" s="54" t="s">
        <v>47</v>
      </c>
      <c r="F157" s="54"/>
      <c r="G157" s="53"/>
      <c r="H157" s="54"/>
      <c r="I157" s="54" t="s">
        <v>47</v>
      </c>
      <c r="J157" s="54">
        <v>4</v>
      </c>
      <c r="K157" s="54"/>
      <c r="L157" s="54"/>
      <c r="M157" s="54">
        <f t="shared" si="2"/>
        <v>4</v>
      </c>
      <c r="N157" s="54" t="str">
        <f t="shared" si="3"/>
        <v/>
      </c>
      <c r="O157" s="54" t="str">
        <f t="shared" si="7"/>
        <v/>
      </c>
      <c r="P157" s="54" t="str">
        <f t="shared" si="4"/>
        <v/>
      </c>
      <c r="Q157" s="54" t="s">
        <v>47</v>
      </c>
      <c r="R157" s="54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9.8" x14ac:dyDescent="0.7">
      <c r="A158" s="53" t="str">
        <f t="shared" si="0"/>
        <v>PDBBBBCC00FFFF-0</v>
      </c>
      <c r="B158" s="53" t="str">
        <f t="shared" si="1"/>
        <v>Catchbox Plus System with 4 channel Hub DSP receiver with Networking and DANTE 4 Clip incl chargers, Standard - Red</v>
      </c>
      <c r="C158" s="60">
        <f>IF(F158="x",'Input for bundle selection'!$B$82,IF(G158="x",'Input for bundle selection'!$B$82+'Input for bundle selection'!$B$84,IF(H158="x",'Input for bundle selection'!$B$83,IF(I158="x",'Input for bundle selection'!$B$83+'Input for bundle selection'!$B$84,0))))+J158*'Input for bundle selection'!$B$85+K158*'Input for bundle selection'!$B$86+L158*'Input for bundle selection'!$B$87+IF(R158="x",SUM(J158:L158)*'Input for bundle selection'!$B$88,0)</f>
        <v>3449</v>
      </c>
      <c r="D158" s="54"/>
      <c r="E158" s="54" t="s">
        <v>47</v>
      </c>
      <c r="F158" s="54"/>
      <c r="G158" s="53"/>
      <c r="H158" s="54"/>
      <c r="I158" s="54" t="s">
        <v>47</v>
      </c>
      <c r="J158" s="54"/>
      <c r="K158" s="54">
        <v>4</v>
      </c>
      <c r="L158" s="54"/>
      <c r="M158" s="54" t="str">
        <f t="shared" si="2"/>
        <v/>
      </c>
      <c r="N158" s="54" t="str">
        <f t="shared" si="3"/>
        <v/>
      </c>
      <c r="O158" s="54">
        <f t="shared" si="7"/>
        <v>2</v>
      </c>
      <c r="P158" s="54">
        <f t="shared" si="4"/>
        <v>2</v>
      </c>
      <c r="Q158" s="54" t="s">
        <v>47</v>
      </c>
      <c r="R158" s="54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9.8" x14ac:dyDescent="0.7">
      <c r="A159" s="53" t="str">
        <f t="shared" si="0"/>
        <v>PDCCCCCC00KKKK-0</v>
      </c>
      <c r="B159" s="53" t="str">
        <f t="shared" si="1"/>
        <v>Catchbox Plus System with 4 channel Hub DSP receiver with Networking and DANTE 4 Stick incl chargers, Standard - Red</v>
      </c>
      <c r="C159" s="60">
        <f>IF(F159="x",'Input for bundle selection'!$B$82,IF(G159="x",'Input for bundle selection'!$B$82+'Input for bundle selection'!$B$84,IF(H159="x",'Input for bundle selection'!$B$83,IF(I159="x",'Input for bundle selection'!$B$83+'Input for bundle selection'!$B$84,0))))+J159*'Input for bundle selection'!$B$85+K159*'Input for bundle selection'!$B$86+L159*'Input for bundle selection'!$B$87+IF(R159="x",SUM(J159:L159)*'Input for bundle selection'!$B$88,0)</f>
        <v>3649</v>
      </c>
      <c r="D159" s="54"/>
      <c r="E159" s="54" t="s">
        <v>47</v>
      </c>
      <c r="F159" s="54"/>
      <c r="G159" s="53"/>
      <c r="H159" s="54"/>
      <c r="I159" s="54" t="s">
        <v>47</v>
      </c>
      <c r="J159" s="54"/>
      <c r="K159" s="54"/>
      <c r="L159" s="54">
        <v>4</v>
      </c>
      <c r="M159" s="54" t="str">
        <f t="shared" si="2"/>
        <v/>
      </c>
      <c r="N159" s="54" t="str">
        <f t="shared" si="3"/>
        <v/>
      </c>
      <c r="O159" s="54">
        <f t="shared" si="7"/>
        <v>2</v>
      </c>
      <c r="P159" s="54">
        <f t="shared" si="4"/>
        <v>2</v>
      </c>
      <c r="Q159" s="54" t="s">
        <v>47</v>
      </c>
      <c r="R159" s="54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9.8" x14ac:dyDescent="0.7">
      <c r="A160" s="53" t="str">
        <f t="shared" si="0"/>
        <v>PDAABCAAC0AAFK-0</v>
      </c>
      <c r="B160" s="53" t="str">
        <f t="shared" si="1"/>
        <v>Catchbox Plus System with 4 channel Hub DSP receiver with Networking and DANTE 2 Cube 1 Clip 1 Stick incl chargers, Standard - Red</v>
      </c>
      <c r="C160" s="60">
        <f>IF(F160="x",'Input for bundle selection'!$B$82,IF(G160="x",'Input for bundle selection'!$B$82+'Input for bundle selection'!$B$84,IF(H160="x",'Input for bundle selection'!$B$83,IF(I160="x",'Input for bundle selection'!$B$83+'Input for bundle selection'!$B$84,0))))+J160*'Input for bundle selection'!$B$85+K160*'Input for bundle selection'!$B$86+L160*'Input for bundle selection'!$B$87+IF(R160="x",SUM(J160:L160)*'Input for bundle selection'!$B$88,0)</f>
        <v>3699</v>
      </c>
      <c r="D160" s="54"/>
      <c r="E160" s="54" t="s">
        <v>47</v>
      </c>
      <c r="F160" s="54"/>
      <c r="G160" s="53"/>
      <c r="H160" s="54"/>
      <c r="I160" s="54" t="s">
        <v>47</v>
      </c>
      <c r="J160" s="54">
        <v>2</v>
      </c>
      <c r="K160" s="54">
        <v>1</v>
      </c>
      <c r="L160" s="54">
        <v>1</v>
      </c>
      <c r="M160" s="54">
        <f t="shared" si="2"/>
        <v>2</v>
      </c>
      <c r="N160" s="54" t="str">
        <f t="shared" si="3"/>
        <v/>
      </c>
      <c r="O160" s="54">
        <f t="shared" si="7"/>
        <v>1</v>
      </c>
      <c r="P160" s="54">
        <f t="shared" si="4"/>
        <v>1</v>
      </c>
      <c r="Q160" s="54" t="s">
        <v>47</v>
      </c>
      <c r="R160" s="54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9.8" x14ac:dyDescent="0.7">
      <c r="A161" s="53" t="str">
        <f t="shared" si="0"/>
        <v>PDAABBAAC0AAFF-0</v>
      </c>
      <c r="B161" s="53" t="str">
        <f t="shared" si="1"/>
        <v>Catchbox Plus System with 4 channel Hub DSP receiver with Networking and DANTE 2 Cube 2 Clip incl chargers, Standard - Red</v>
      </c>
      <c r="C161" s="60">
        <f>IF(F161="x",'Input for bundle selection'!$B$82,IF(G161="x",'Input for bundle selection'!$B$82+'Input for bundle selection'!$B$84,IF(H161="x",'Input for bundle selection'!$B$83,IF(I161="x",'Input for bundle selection'!$B$83+'Input for bundle selection'!$B$84,0))))+J161*'Input for bundle selection'!$B$85+K161*'Input for bundle selection'!$B$86+L161*'Input for bundle selection'!$B$87+IF(R161="x",SUM(J161:L161)*'Input for bundle selection'!$B$88,0)</f>
        <v>3649</v>
      </c>
      <c r="D161" s="54"/>
      <c r="E161" s="54" t="s">
        <v>47</v>
      </c>
      <c r="F161" s="54"/>
      <c r="G161" s="53"/>
      <c r="H161" s="54"/>
      <c r="I161" s="54" t="s">
        <v>47</v>
      </c>
      <c r="J161" s="54">
        <v>2</v>
      </c>
      <c r="K161" s="54">
        <v>2</v>
      </c>
      <c r="L161" s="54"/>
      <c r="M161" s="54">
        <f t="shared" si="2"/>
        <v>2</v>
      </c>
      <c r="N161" s="54" t="str">
        <f t="shared" si="3"/>
        <v/>
      </c>
      <c r="O161" s="54">
        <f t="shared" si="7"/>
        <v>1</v>
      </c>
      <c r="P161" s="54">
        <f t="shared" si="4"/>
        <v>1</v>
      </c>
      <c r="Q161" s="54" t="s">
        <v>47</v>
      </c>
      <c r="R161" s="54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9.8" x14ac:dyDescent="0.7">
      <c r="A162" s="53" t="str">
        <f t="shared" si="0"/>
        <v>PDAACCAAC0AAKK-0</v>
      </c>
      <c r="B162" s="53" t="str">
        <f t="shared" si="1"/>
        <v>Catchbox Plus System with 4 channel Hub DSP receiver with Networking and DANTE 2 Cube 2 Stick incl chargers, Standard - Red</v>
      </c>
      <c r="C162" s="60">
        <f>IF(F162="x",'Input for bundle selection'!$B$82,IF(G162="x",'Input for bundle selection'!$B$82+'Input for bundle selection'!$B$84,IF(H162="x",'Input for bundle selection'!$B$83,IF(I162="x",'Input for bundle selection'!$B$83+'Input for bundle selection'!$B$84,0))))+J162*'Input for bundle selection'!$B$85+K162*'Input for bundle selection'!$B$86+L162*'Input for bundle selection'!$B$87+IF(R162="x",SUM(J162:L162)*'Input for bundle selection'!$B$88,0)</f>
        <v>3749</v>
      </c>
      <c r="D162" s="54"/>
      <c r="E162" s="54" t="s">
        <v>47</v>
      </c>
      <c r="F162" s="54"/>
      <c r="G162" s="53"/>
      <c r="H162" s="54"/>
      <c r="I162" s="54" t="s">
        <v>47</v>
      </c>
      <c r="J162" s="54">
        <v>2</v>
      </c>
      <c r="K162" s="54"/>
      <c r="L162" s="54">
        <v>2</v>
      </c>
      <c r="M162" s="54">
        <f t="shared" si="2"/>
        <v>2</v>
      </c>
      <c r="N162" s="54" t="str">
        <f t="shared" si="3"/>
        <v/>
      </c>
      <c r="O162" s="54">
        <f t="shared" si="7"/>
        <v>1</v>
      </c>
      <c r="P162" s="54">
        <f t="shared" si="4"/>
        <v>1</v>
      </c>
      <c r="Q162" s="54" t="s">
        <v>47</v>
      </c>
      <c r="R162" s="54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9.8" x14ac:dyDescent="0.7">
      <c r="A163" s="53" t="str">
        <f t="shared" si="0"/>
        <v>PDABCCABC0EJOO-0</v>
      </c>
      <c r="B163" s="53" t="str">
        <f t="shared" si="1"/>
        <v>Catchbox Plus System with 4 channel Hub DSP receiver with Networking and DANTE 1 Cube 1 Clip 2 Stick incl chargers, Custom</v>
      </c>
      <c r="C163" s="60">
        <f>IF(F163="x",'Input for bundle selection'!$B$82,IF(G163="x",'Input for bundle selection'!$B$82+'Input for bundle selection'!$B$84,IF(H163="x",'Input for bundle selection'!$B$83,IF(I163="x",'Input for bundle selection'!$B$83+'Input for bundle selection'!$B$84,0))))+J163*'Input for bundle selection'!$B$85+K163*'Input for bundle selection'!$B$86+L163*'Input for bundle selection'!$B$87+IF(R163="x",SUM(J163:L163)*'Input for bundle selection'!$B$88,0)</f>
        <v>3849</v>
      </c>
      <c r="D163" s="54"/>
      <c r="E163" s="54" t="s">
        <v>47</v>
      </c>
      <c r="F163" s="54"/>
      <c r="G163" s="53"/>
      <c r="H163" s="54"/>
      <c r="I163" s="54" t="s">
        <v>47</v>
      </c>
      <c r="J163" s="54">
        <v>1</v>
      </c>
      <c r="K163" s="54">
        <v>1</v>
      </c>
      <c r="L163" s="54">
        <v>2</v>
      </c>
      <c r="M163" s="54">
        <f t="shared" si="2"/>
        <v>1</v>
      </c>
      <c r="N163" s="54">
        <f t="shared" si="3"/>
        <v>1</v>
      </c>
      <c r="O163" s="54">
        <f t="shared" si="7"/>
        <v>1</v>
      </c>
      <c r="P163" s="54">
        <f t="shared" si="4"/>
        <v>2</v>
      </c>
      <c r="Q163" s="54"/>
      <c r="R163" s="54" t="s">
        <v>47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9.8" x14ac:dyDescent="0.7">
      <c r="A164" s="53" t="str">
        <f t="shared" si="0"/>
        <v>PDABBCABC0EJJO-0</v>
      </c>
      <c r="B164" s="53" t="str">
        <f t="shared" si="1"/>
        <v>Catchbox Plus System with 4 channel Hub DSP receiver with Networking and DANTE 1 Cube 2 Clip 1 Stick incl chargers, Custom</v>
      </c>
      <c r="C164" s="60">
        <f>IF(F164="x",'Input for bundle selection'!$B$82,IF(G164="x",'Input for bundle selection'!$B$82+'Input for bundle selection'!$B$84,IF(H164="x",'Input for bundle selection'!$B$83,IF(I164="x",'Input for bundle selection'!$B$83+'Input for bundle selection'!$B$84,0))))+J164*'Input for bundle selection'!$B$85+K164*'Input for bundle selection'!$B$86+L164*'Input for bundle selection'!$B$87+IF(R164="x",SUM(J164:L164)*'Input for bundle selection'!$B$88,0)</f>
        <v>3799</v>
      </c>
      <c r="D164" s="54"/>
      <c r="E164" s="54" t="s">
        <v>47</v>
      </c>
      <c r="F164" s="54"/>
      <c r="G164" s="53"/>
      <c r="H164" s="54"/>
      <c r="I164" s="54" t="s">
        <v>47</v>
      </c>
      <c r="J164" s="54">
        <v>1</v>
      </c>
      <c r="K164" s="54">
        <v>2</v>
      </c>
      <c r="L164" s="54">
        <v>1</v>
      </c>
      <c r="M164" s="54">
        <f t="shared" si="2"/>
        <v>1</v>
      </c>
      <c r="N164" s="54">
        <f t="shared" si="3"/>
        <v>1</v>
      </c>
      <c r="O164" s="54">
        <f t="shared" si="7"/>
        <v>1</v>
      </c>
      <c r="P164" s="54">
        <f t="shared" si="4"/>
        <v>2</v>
      </c>
      <c r="Q164" s="54"/>
      <c r="R164" s="54" t="s">
        <v>47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9.8" x14ac:dyDescent="0.7">
      <c r="A165" s="53" t="str">
        <f t="shared" si="0"/>
        <v>PDBBCCCC00JJOO-0</v>
      </c>
      <c r="B165" s="53" t="str">
        <f t="shared" si="1"/>
        <v>Catchbox Plus System with 4 channel Hub DSP receiver with Networking and DANTE 2 Clip 2 Stick incl chargers, Custom</v>
      </c>
      <c r="C165" s="60">
        <f>IF(F165="x",'Input for bundle selection'!$B$82,IF(G165="x",'Input for bundle selection'!$B$82+'Input for bundle selection'!$B$84,IF(H165="x",'Input for bundle selection'!$B$83,IF(I165="x",'Input for bundle selection'!$B$83+'Input for bundle selection'!$B$84,0))))+J165*'Input for bundle selection'!$B$85+K165*'Input for bundle selection'!$B$86+L165*'Input for bundle selection'!$B$87+IF(R165="x",SUM(J165:L165)*'Input for bundle selection'!$B$88,0)</f>
        <v>3749</v>
      </c>
      <c r="D165" s="54"/>
      <c r="E165" s="54" t="s">
        <v>47</v>
      </c>
      <c r="F165" s="54"/>
      <c r="G165" s="53"/>
      <c r="H165" s="54"/>
      <c r="I165" s="54" t="s">
        <v>47</v>
      </c>
      <c r="J165" s="54"/>
      <c r="K165" s="54">
        <v>2</v>
      </c>
      <c r="L165" s="54">
        <v>2</v>
      </c>
      <c r="M165" s="54" t="str">
        <f t="shared" si="2"/>
        <v/>
      </c>
      <c r="N165" s="54" t="str">
        <f t="shared" si="3"/>
        <v/>
      </c>
      <c r="O165" s="54">
        <f t="shared" si="7"/>
        <v>2</v>
      </c>
      <c r="P165" s="54">
        <f t="shared" si="4"/>
        <v>2</v>
      </c>
      <c r="Q165" s="54"/>
      <c r="R165" s="54" t="s">
        <v>47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9.8" x14ac:dyDescent="0.7">
      <c r="A166" s="53" t="str">
        <f t="shared" si="0"/>
        <v>PDAAABAAABEEEJ-0</v>
      </c>
      <c r="B166" s="53" t="str">
        <f t="shared" si="1"/>
        <v>Catchbox Plus System with 4 channel Hub DSP receiver with Networking and DANTE 3 Cube 1 Clip incl chargers, Custom</v>
      </c>
      <c r="C166" s="60">
        <f>IF(F166="x",'Input for bundle selection'!$B$82,IF(G166="x",'Input for bundle selection'!$B$82+'Input for bundle selection'!$B$84,IF(H166="x",'Input for bundle selection'!$B$83,IF(I166="x",'Input for bundle selection'!$B$83+'Input for bundle selection'!$B$84,0))))+J166*'Input for bundle selection'!$B$85+K166*'Input for bundle selection'!$B$86+L166*'Input for bundle selection'!$B$87+IF(R166="x",SUM(J166:L166)*'Input for bundle selection'!$B$88,0)</f>
        <v>3949</v>
      </c>
      <c r="D166" s="54"/>
      <c r="E166" s="54" t="s">
        <v>47</v>
      </c>
      <c r="F166" s="54"/>
      <c r="G166" s="53"/>
      <c r="H166" s="54"/>
      <c r="I166" s="54" t="s">
        <v>47</v>
      </c>
      <c r="J166" s="54">
        <v>3</v>
      </c>
      <c r="K166" s="54">
        <v>1</v>
      </c>
      <c r="L166" s="54"/>
      <c r="M166" s="54">
        <f t="shared" si="2"/>
        <v>3</v>
      </c>
      <c r="N166" s="54">
        <f t="shared" si="3"/>
        <v>1</v>
      </c>
      <c r="O166" s="54" t="str">
        <f t="shared" si="7"/>
        <v/>
      </c>
      <c r="P166" s="54">
        <f t="shared" si="4"/>
        <v>1</v>
      </c>
      <c r="Q166" s="54"/>
      <c r="R166" s="54" t="s">
        <v>47</v>
      </c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9.8" x14ac:dyDescent="0.7">
      <c r="A167" s="53" t="str">
        <f t="shared" si="0"/>
        <v>PDAAACAAABEEEO-0</v>
      </c>
      <c r="B167" s="53" t="str">
        <f t="shared" si="1"/>
        <v>Catchbox Plus System with 4 channel Hub DSP receiver with Networking and DANTE 3 Cube 1 Stick incl chargers, Custom</v>
      </c>
      <c r="C167" s="60">
        <f>IF(F167="x",'Input for bundle selection'!$B$82,IF(G167="x",'Input for bundle selection'!$B$82+'Input for bundle selection'!$B$84,IF(H167="x",'Input for bundle selection'!$B$83,IF(I167="x",'Input for bundle selection'!$B$83+'Input for bundle selection'!$B$84,0))))+J167*'Input for bundle selection'!$B$85+K167*'Input for bundle selection'!$B$86+L167*'Input for bundle selection'!$B$87+IF(R167="x",SUM(J167:L167)*'Input for bundle selection'!$B$88,0)</f>
        <v>3999</v>
      </c>
      <c r="D167" s="54"/>
      <c r="E167" s="54" t="s">
        <v>47</v>
      </c>
      <c r="F167" s="54"/>
      <c r="G167" s="53"/>
      <c r="H167" s="54"/>
      <c r="I167" s="54" t="s">
        <v>47</v>
      </c>
      <c r="J167" s="54">
        <v>3</v>
      </c>
      <c r="K167" s="54"/>
      <c r="L167" s="54">
        <v>1</v>
      </c>
      <c r="M167" s="54">
        <f t="shared" si="2"/>
        <v>3</v>
      </c>
      <c r="N167" s="54">
        <f t="shared" si="3"/>
        <v>1</v>
      </c>
      <c r="O167" s="54" t="str">
        <f t="shared" si="7"/>
        <v/>
      </c>
      <c r="P167" s="54">
        <f t="shared" si="4"/>
        <v>1</v>
      </c>
      <c r="Q167" s="54"/>
      <c r="R167" s="54" t="s">
        <v>47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9.8" x14ac:dyDescent="0.7">
      <c r="A168" s="53" t="str">
        <f t="shared" si="0"/>
        <v>PDABBBABC0EJJJ-0</v>
      </c>
      <c r="B168" s="53" t="str">
        <f t="shared" si="1"/>
        <v>Catchbox Plus System with 4 channel Hub DSP receiver with Networking and DANTE 1 Cube 3 Clip incl chargers, Custom</v>
      </c>
      <c r="C168" s="60">
        <f>IF(F168="x",'Input for bundle selection'!$B$82,IF(G168="x",'Input for bundle selection'!$B$82+'Input for bundle selection'!$B$84,IF(H168="x",'Input for bundle selection'!$B$83,IF(I168="x",'Input for bundle selection'!$B$83+'Input for bundle selection'!$B$84,0))))+J168*'Input for bundle selection'!$B$85+K168*'Input for bundle selection'!$B$86+L168*'Input for bundle selection'!$B$87+IF(R168="x",SUM(J168:L168)*'Input for bundle selection'!$B$88,0)</f>
        <v>3749</v>
      </c>
      <c r="D168" s="54"/>
      <c r="E168" s="54" t="s">
        <v>47</v>
      </c>
      <c r="F168" s="54"/>
      <c r="G168" s="53"/>
      <c r="H168" s="54"/>
      <c r="I168" s="54" t="s">
        <v>47</v>
      </c>
      <c r="J168" s="54">
        <v>1</v>
      </c>
      <c r="K168" s="54">
        <v>3</v>
      </c>
      <c r="L168" s="54"/>
      <c r="M168" s="54">
        <f t="shared" si="2"/>
        <v>1</v>
      </c>
      <c r="N168" s="54">
        <f t="shared" si="3"/>
        <v>1</v>
      </c>
      <c r="O168" s="54">
        <f t="shared" si="7"/>
        <v>1</v>
      </c>
      <c r="P168" s="54">
        <f t="shared" si="4"/>
        <v>2</v>
      </c>
      <c r="Q168" s="54"/>
      <c r="R168" s="54" t="s">
        <v>47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9.8" x14ac:dyDescent="0.7">
      <c r="A169" s="53" t="str">
        <f t="shared" si="0"/>
        <v>PDBBBCCC00JJJO-0</v>
      </c>
      <c r="B169" s="53" t="str">
        <f t="shared" si="1"/>
        <v>Catchbox Plus System with 4 channel Hub DSP receiver with Networking and DANTE 3 Clip 1 Stick incl chargers, Custom</v>
      </c>
      <c r="C169" s="60">
        <f>IF(F169="x",'Input for bundle selection'!$B$82,IF(G169="x",'Input for bundle selection'!$B$82+'Input for bundle selection'!$B$84,IF(H169="x",'Input for bundle selection'!$B$83,IF(I169="x",'Input for bundle selection'!$B$83+'Input for bundle selection'!$B$84,0))))+J169*'Input for bundle selection'!$B$85+K169*'Input for bundle selection'!$B$86+L169*'Input for bundle selection'!$B$87+IF(R169="x",SUM(J169:L169)*'Input for bundle selection'!$B$88,0)</f>
        <v>3699</v>
      </c>
      <c r="D169" s="54"/>
      <c r="E169" s="54" t="s">
        <v>47</v>
      </c>
      <c r="F169" s="54"/>
      <c r="G169" s="53"/>
      <c r="H169" s="54"/>
      <c r="I169" s="54" t="s">
        <v>47</v>
      </c>
      <c r="J169" s="54"/>
      <c r="K169" s="54">
        <v>3</v>
      </c>
      <c r="L169" s="54">
        <v>1</v>
      </c>
      <c r="M169" s="54" t="str">
        <f t="shared" si="2"/>
        <v/>
      </c>
      <c r="N169" s="54" t="str">
        <f t="shared" si="3"/>
        <v/>
      </c>
      <c r="O169" s="54">
        <f t="shared" si="7"/>
        <v>2</v>
      </c>
      <c r="P169" s="54">
        <f t="shared" si="4"/>
        <v>2</v>
      </c>
      <c r="Q169" s="54"/>
      <c r="R169" s="54" t="s">
        <v>47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9.8" x14ac:dyDescent="0.7">
      <c r="A170" s="53" t="str">
        <f t="shared" si="0"/>
        <v>PDACCCABC0EOOO-0</v>
      </c>
      <c r="B170" s="53" t="str">
        <f t="shared" si="1"/>
        <v>Catchbox Plus System with 4 channel Hub DSP receiver with Networking and DANTE 1 Cube 3 Stick incl chargers, Custom</v>
      </c>
      <c r="C170" s="60">
        <f>IF(F170="x",'Input for bundle selection'!$B$82,IF(G170="x",'Input for bundle selection'!$B$82+'Input for bundle selection'!$B$84,IF(H170="x",'Input for bundle selection'!$B$83,IF(I170="x",'Input for bundle selection'!$B$83+'Input for bundle selection'!$B$84,0))))+J170*'Input for bundle selection'!$B$85+K170*'Input for bundle selection'!$B$86+L170*'Input for bundle selection'!$B$87+IF(R170="x",SUM(J170:L170)*'Input for bundle selection'!$B$88,0)</f>
        <v>3899</v>
      </c>
      <c r="D170" s="54"/>
      <c r="E170" s="54" t="s">
        <v>47</v>
      </c>
      <c r="F170" s="54"/>
      <c r="G170" s="53"/>
      <c r="H170" s="54"/>
      <c r="I170" s="54" t="s">
        <v>47</v>
      </c>
      <c r="J170" s="54">
        <v>1</v>
      </c>
      <c r="K170" s="54"/>
      <c r="L170" s="54">
        <v>3</v>
      </c>
      <c r="M170" s="54">
        <f t="shared" si="2"/>
        <v>1</v>
      </c>
      <c r="N170" s="54">
        <f t="shared" si="3"/>
        <v>1</v>
      </c>
      <c r="O170" s="54">
        <f t="shared" si="7"/>
        <v>1</v>
      </c>
      <c r="P170" s="54">
        <f t="shared" si="4"/>
        <v>2</v>
      </c>
      <c r="Q170" s="54"/>
      <c r="R170" s="54" t="s">
        <v>47</v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9.8" x14ac:dyDescent="0.7">
      <c r="A171" s="53" t="str">
        <f t="shared" si="0"/>
        <v>PDBCCCCC00JOOO-0</v>
      </c>
      <c r="B171" s="53" t="str">
        <f t="shared" si="1"/>
        <v>Catchbox Plus System with 4 channel Hub DSP receiver with Networking and DANTE 1 Clip 3 Stick incl chargers, Custom</v>
      </c>
      <c r="C171" s="60">
        <f>IF(F171="x",'Input for bundle selection'!$B$82,IF(G171="x",'Input for bundle selection'!$B$82+'Input for bundle selection'!$B$84,IF(H171="x",'Input for bundle selection'!$B$83,IF(I171="x",'Input for bundle selection'!$B$83+'Input for bundle selection'!$B$84,0))))+J171*'Input for bundle selection'!$B$85+K171*'Input for bundle selection'!$B$86+L171*'Input for bundle selection'!$B$87+IF(R171="x",SUM(J171:L171)*'Input for bundle selection'!$B$88,0)</f>
        <v>3799</v>
      </c>
      <c r="D171" s="54"/>
      <c r="E171" s="54" t="s">
        <v>47</v>
      </c>
      <c r="F171" s="54"/>
      <c r="G171" s="53"/>
      <c r="H171" s="54"/>
      <c r="I171" s="54" t="s">
        <v>47</v>
      </c>
      <c r="J171" s="54"/>
      <c r="K171" s="54">
        <v>1</v>
      </c>
      <c r="L171" s="54">
        <v>3</v>
      </c>
      <c r="M171" s="54" t="str">
        <f t="shared" si="2"/>
        <v/>
      </c>
      <c r="N171" s="54" t="str">
        <f t="shared" si="3"/>
        <v/>
      </c>
      <c r="O171" s="54">
        <f t="shared" si="7"/>
        <v>2</v>
      </c>
      <c r="P171" s="54">
        <f t="shared" si="4"/>
        <v>2</v>
      </c>
      <c r="Q171" s="54"/>
      <c r="R171" s="54" t="s">
        <v>47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9.8" x14ac:dyDescent="0.7">
      <c r="A172" s="53" t="str">
        <f t="shared" si="0"/>
        <v>PDAAAAAAAAEEEE-0</v>
      </c>
      <c r="B172" s="53" t="str">
        <f t="shared" si="1"/>
        <v>Catchbox Plus System with 4 channel Hub DSP receiver with Networking and DANTE 4 Cube incl chargers, Custom</v>
      </c>
      <c r="C172" s="60">
        <f>IF(F172="x",'Input for bundle selection'!$B$82,IF(G172="x",'Input for bundle selection'!$B$82+'Input for bundle selection'!$B$84,IF(H172="x",'Input for bundle selection'!$B$83,IF(I172="x",'Input for bundle selection'!$B$83+'Input for bundle selection'!$B$84,0))))+J172*'Input for bundle selection'!$B$85+K172*'Input for bundle selection'!$B$86+L172*'Input for bundle selection'!$B$87+IF(R172="x",SUM(J172:L172)*'Input for bundle selection'!$B$88,0)</f>
        <v>4049</v>
      </c>
      <c r="D172" s="54"/>
      <c r="E172" s="54" t="s">
        <v>47</v>
      </c>
      <c r="F172" s="54"/>
      <c r="G172" s="53"/>
      <c r="H172" s="54"/>
      <c r="I172" s="54" t="s">
        <v>47</v>
      </c>
      <c r="J172" s="54">
        <v>4</v>
      </c>
      <c r="K172" s="54"/>
      <c r="L172" s="54"/>
      <c r="M172" s="54">
        <f t="shared" si="2"/>
        <v>4</v>
      </c>
      <c r="N172" s="54" t="str">
        <f t="shared" si="3"/>
        <v/>
      </c>
      <c r="O172" s="54" t="str">
        <f t="shared" si="7"/>
        <v/>
      </c>
      <c r="P172" s="54" t="str">
        <f t="shared" si="4"/>
        <v/>
      </c>
      <c r="Q172" s="54"/>
      <c r="R172" s="54" t="s">
        <v>47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9.8" x14ac:dyDescent="0.7">
      <c r="A173" s="53" t="str">
        <f t="shared" si="0"/>
        <v>PDBBBBCC00JJJJ-0</v>
      </c>
      <c r="B173" s="53" t="str">
        <f t="shared" si="1"/>
        <v>Catchbox Plus System with 4 channel Hub DSP receiver with Networking and DANTE 4 Clip incl chargers, Custom</v>
      </c>
      <c r="C173" s="60">
        <f>IF(F173="x",'Input for bundle selection'!$B$82,IF(G173="x",'Input for bundle selection'!$B$82+'Input for bundle selection'!$B$84,IF(H173="x",'Input for bundle selection'!$B$83,IF(I173="x",'Input for bundle selection'!$B$83+'Input for bundle selection'!$B$84,0))))+J173*'Input for bundle selection'!$B$85+K173*'Input for bundle selection'!$B$86+L173*'Input for bundle selection'!$B$87+IF(R173="x",SUM(J173:L173)*'Input for bundle selection'!$B$88,0)</f>
        <v>3649</v>
      </c>
      <c r="D173" s="54"/>
      <c r="E173" s="54" t="s">
        <v>47</v>
      </c>
      <c r="F173" s="54"/>
      <c r="G173" s="53"/>
      <c r="H173" s="54"/>
      <c r="I173" s="54" t="s">
        <v>47</v>
      </c>
      <c r="J173" s="54"/>
      <c r="K173" s="54">
        <v>4</v>
      </c>
      <c r="L173" s="54"/>
      <c r="M173" s="54" t="str">
        <f t="shared" si="2"/>
        <v/>
      </c>
      <c r="N173" s="54" t="str">
        <f t="shared" si="3"/>
        <v/>
      </c>
      <c r="O173" s="54">
        <f t="shared" si="7"/>
        <v>2</v>
      </c>
      <c r="P173" s="54">
        <f t="shared" si="4"/>
        <v>2</v>
      </c>
      <c r="Q173" s="54"/>
      <c r="R173" s="54" t="s">
        <v>47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9.8" x14ac:dyDescent="0.7">
      <c r="A174" s="53" t="str">
        <f t="shared" si="0"/>
        <v>PDCCCCCC00OOOO-0</v>
      </c>
      <c r="B174" s="53" t="str">
        <f t="shared" si="1"/>
        <v>Catchbox Plus System with 4 channel Hub DSP receiver with Networking and DANTE 4 Stick incl chargers, Custom</v>
      </c>
      <c r="C174" s="60">
        <f>IF(F174="x",'Input for bundle selection'!$B$82,IF(G174="x",'Input for bundle selection'!$B$82+'Input for bundle selection'!$B$84,IF(H174="x",'Input for bundle selection'!$B$83,IF(I174="x",'Input for bundle selection'!$B$83+'Input for bundle selection'!$B$84,0))))+J174*'Input for bundle selection'!$B$85+K174*'Input for bundle selection'!$B$86+L174*'Input for bundle selection'!$B$87+IF(R174="x",SUM(J174:L174)*'Input for bundle selection'!$B$88,0)</f>
        <v>3849</v>
      </c>
      <c r="D174" s="54"/>
      <c r="E174" s="54" t="s">
        <v>47</v>
      </c>
      <c r="F174" s="54"/>
      <c r="G174" s="53"/>
      <c r="H174" s="54"/>
      <c r="I174" s="54" t="s">
        <v>47</v>
      </c>
      <c r="J174" s="54"/>
      <c r="K174" s="54"/>
      <c r="L174" s="54">
        <v>4</v>
      </c>
      <c r="M174" s="54" t="str">
        <f t="shared" si="2"/>
        <v/>
      </c>
      <c r="N174" s="54" t="str">
        <f t="shared" si="3"/>
        <v/>
      </c>
      <c r="O174" s="54">
        <f t="shared" si="7"/>
        <v>2</v>
      </c>
      <c r="P174" s="54">
        <f t="shared" si="4"/>
        <v>2</v>
      </c>
      <c r="Q174" s="54"/>
      <c r="R174" s="54" t="s">
        <v>47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9.8" x14ac:dyDescent="0.7">
      <c r="A175" s="53" t="str">
        <f t="shared" si="0"/>
        <v>PDAABCAAC0EEJO-0</v>
      </c>
      <c r="B175" s="53" t="str">
        <f t="shared" si="1"/>
        <v>Catchbox Plus System with 4 channel Hub DSP receiver with Networking and DANTE 2 Cube 1 Clip 1 Stick incl chargers, Custom</v>
      </c>
      <c r="C175" s="60">
        <f>IF(F175="x",'Input for bundle selection'!$B$82,IF(G175="x",'Input for bundle selection'!$B$82+'Input for bundle selection'!$B$84,IF(H175="x",'Input for bundle selection'!$B$83,IF(I175="x",'Input for bundle selection'!$B$83+'Input for bundle selection'!$B$84,0))))+J175*'Input for bundle selection'!$B$85+K175*'Input for bundle selection'!$B$86+L175*'Input for bundle selection'!$B$87+IF(R175="x",SUM(J175:L175)*'Input for bundle selection'!$B$88,0)</f>
        <v>3899</v>
      </c>
      <c r="D175" s="54"/>
      <c r="E175" s="54" t="s">
        <v>47</v>
      </c>
      <c r="F175" s="54"/>
      <c r="G175" s="53"/>
      <c r="H175" s="54"/>
      <c r="I175" s="54" t="s">
        <v>47</v>
      </c>
      <c r="J175" s="54">
        <v>2</v>
      </c>
      <c r="K175" s="54">
        <v>1</v>
      </c>
      <c r="L175" s="54">
        <v>1</v>
      </c>
      <c r="M175" s="54">
        <f t="shared" si="2"/>
        <v>2</v>
      </c>
      <c r="N175" s="54" t="str">
        <f t="shared" si="3"/>
        <v/>
      </c>
      <c r="O175" s="54">
        <f t="shared" si="7"/>
        <v>1</v>
      </c>
      <c r="P175" s="54">
        <f t="shared" si="4"/>
        <v>1</v>
      </c>
      <c r="Q175" s="53"/>
      <c r="R175" s="53" t="s">
        <v>47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9.8" x14ac:dyDescent="0.7">
      <c r="A176" s="53" t="str">
        <f t="shared" si="0"/>
        <v>PDAABBAAC0EEJJ-0</v>
      </c>
      <c r="B176" s="53" t="str">
        <f t="shared" si="1"/>
        <v>Catchbox Plus System with 4 channel Hub DSP receiver with Networking and DANTE 2 Cube 2 Clip incl chargers, Custom</v>
      </c>
      <c r="C176" s="60">
        <f>IF(F176="x",'Input for bundle selection'!$B$82,IF(G176="x",'Input for bundle selection'!$B$82+'Input for bundle selection'!$B$84,IF(H176="x",'Input for bundle selection'!$B$83,IF(I176="x",'Input for bundle selection'!$B$83+'Input for bundle selection'!$B$84,0))))+J176*'Input for bundle selection'!$B$85+K176*'Input for bundle selection'!$B$86+L176*'Input for bundle selection'!$B$87+IF(R176="x",SUM(J176:L176)*'Input for bundle selection'!$B$88,0)</f>
        <v>3849</v>
      </c>
      <c r="D176" s="54"/>
      <c r="E176" s="54" t="s">
        <v>47</v>
      </c>
      <c r="F176" s="54"/>
      <c r="G176" s="53"/>
      <c r="H176" s="54"/>
      <c r="I176" s="54" t="s">
        <v>47</v>
      </c>
      <c r="J176" s="54">
        <v>2</v>
      </c>
      <c r="K176" s="54">
        <v>2</v>
      </c>
      <c r="L176" s="54"/>
      <c r="M176" s="54">
        <f t="shared" si="2"/>
        <v>2</v>
      </c>
      <c r="N176" s="54" t="str">
        <f t="shared" si="3"/>
        <v/>
      </c>
      <c r="O176" s="54">
        <f t="shared" si="7"/>
        <v>1</v>
      </c>
      <c r="P176" s="54">
        <f t="shared" si="4"/>
        <v>1</v>
      </c>
      <c r="Q176" s="53"/>
      <c r="R176" s="53" t="s">
        <v>47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9.8" x14ac:dyDescent="0.7">
      <c r="A177" s="53" t="str">
        <f t="shared" si="0"/>
        <v>PDAACCAAC0EEOO-0</v>
      </c>
      <c r="B177" s="53" t="str">
        <f t="shared" si="1"/>
        <v>Catchbox Plus System with 4 channel Hub DSP receiver with Networking and DANTE 2 Cube 2 Stick incl chargers, Custom</v>
      </c>
      <c r="C177" s="60">
        <f>IF(F177="x",'Input for bundle selection'!$B$82,IF(G177="x",'Input for bundle selection'!$B$82+'Input for bundle selection'!$B$84,IF(H177="x",'Input for bundle selection'!$B$83,IF(I177="x",'Input for bundle selection'!$B$83+'Input for bundle selection'!$B$84,0))))+J177*'Input for bundle selection'!$B$85+K177*'Input for bundle selection'!$B$86+L177*'Input for bundle selection'!$B$87+IF(R177="x",SUM(J177:L177)*'Input for bundle selection'!$B$88,0)</f>
        <v>3949</v>
      </c>
      <c r="D177" s="54"/>
      <c r="E177" s="54" t="s">
        <v>47</v>
      </c>
      <c r="F177" s="54"/>
      <c r="G177" s="53"/>
      <c r="H177" s="54"/>
      <c r="I177" s="54" t="s">
        <v>47</v>
      </c>
      <c r="J177" s="54">
        <v>2</v>
      </c>
      <c r="K177" s="54"/>
      <c r="L177" s="54">
        <v>2</v>
      </c>
      <c r="M177" s="54">
        <f t="shared" si="2"/>
        <v>2</v>
      </c>
      <c r="N177" s="54" t="str">
        <f t="shared" si="3"/>
        <v/>
      </c>
      <c r="O177" s="54">
        <f t="shared" si="7"/>
        <v>1</v>
      </c>
      <c r="P177" s="54">
        <f t="shared" si="4"/>
        <v>1</v>
      </c>
      <c r="Q177" s="53"/>
      <c r="R177" s="53" t="s">
        <v>47</v>
      </c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9.8" x14ac:dyDescent="0.7">
      <c r="A178" s="51"/>
      <c r="B178" s="7"/>
      <c r="C178" s="61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7"/>
      <c r="P178" s="7"/>
      <c r="Q178" s="62"/>
      <c r="R178" s="62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9.8" x14ac:dyDescent="0.7">
      <c r="A179" s="59" t="s">
        <v>48</v>
      </c>
      <c r="B179" s="53"/>
      <c r="C179" s="60"/>
      <c r="D179" s="54"/>
      <c r="E179" s="54"/>
      <c r="F179" s="54"/>
      <c r="G179" s="53"/>
      <c r="H179" s="54"/>
      <c r="I179" s="54"/>
      <c r="J179" s="54"/>
      <c r="K179" s="54"/>
      <c r="L179" s="54"/>
      <c r="M179" s="54"/>
      <c r="N179" s="54"/>
      <c r="O179" s="54"/>
      <c r="P179" s="54"/>
      <c r="Q179" s="53"/>
      <c r="R179" s="53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9.8" x14ac:dyDescent="0.7">
      <c r="A180" s="53" t="str">
        <f>'SKU Builder'!C10&amp;"0000000000000-"&amp;'SKU Builder'!C58</f>
        <v>P0000000000000-A</v>
      </c>
      <c r="B180" s="53" t="s">
        <v>49</v>
      </c>
      <c r="C180" s="60">
        <v>100</v>
      </c>
      <c r="D180" s="54"/>
      <c r="E180" s="54"/>
      <c r="F180" s="54"/>
      <c r="G180" s="53"/>
      <c r="H180" s="54"/>
      <c r="I180" s="54"/>
      <c r="J180" s="54"/>
      <c r="K180" s="54"/>
      <c r="L180" s="54"/>
      <c r="M180" s="54"/>
      <c r="N180" s="54"/>
      <c r="O180" s="54"/>
      <c r="P180" s="54"/>
      <c r="Q180" s="53"/>
      <c r="R180" s="53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9.8" x14ac:dyDescent="0.7">
      <c r="A181" s="53" t="str">
        <f>'SKU Builder'!C10&amp;"0000000000000-"&amp;'SKU Builder'!C59</f>
        <v>P0000000000000-B</v>
      </c>
      <c r="B181" s="53" t="s">
        <v>50</v>
      </c>
      <c r="C181" s="60">
        <v>250</v>
      </c>
      <c r="D181" s="54"/>
      <c r="E181" s="54"/>
      <c r="F181" s="54"/>
      <c r="G181" s="53"/>
      <c r="H181" s="54"/>
      <c r="I181" s="54"/>
      <c r="J181" s="54"/>
      <c r="K181" s="54"/>
      <c r="L181" s="54"/>
      <c r="M181" s="54"/>
      <c r="N181" s="54"/>
      <c r="O181" s="54"/>
      <c r="P181" s="54"/>
      <c r="Q181" s="53"/>
      <c r="R181" s="53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9.8" x14ac:dyDescent="0.7">
      <c r="A182" s="53" t="str">
        <f>'SKU Builder'!C10&amp;"0000000000000-"&amp;'SKU Builder'!C60</f>
        <v>P0000000000000-C</v>
      </c>
      <c r="B182" s="53" t="s">
        <v>51</v>
      </c>
      <c r="C182" s="60">
        <v>50</v>
      </c>
      <c r="D182" s="54"/>
      <c r="E182" s="54"/>
      <c r="F182" s="54"/>
      <c r="G182" s="53"/>
      <c r="H182" s="54"/>
      <c r="I182" s="54"/>
      <c r="J182" s="54"/>
      <c r="K182" s="54"/>
      <c r="L182" s="54"/>
      <c r="M182" s="54"/>
      <c r="N182" s="54"/>
      <c r="O182" s="54"/>
      <c r="P182" s="54"/>
      <c r="Q182" s="53"/>
      <c r="R182" s="53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9.8" x14ac:dyDescent="0.7">
      <c r="A183" s="51"/>
      <c r="B183" s="53"/>
      <c r="C183" s="60"/>
      <c r="D183" s="54"/>
      <c r="E183" s="54"/>
      <c r="F183" s="54"/>
      <c r="G183" s="53"/>
      <c r="H183" s="54"/>
      <c r="I183" s="54"/>
      <c r="J183" s="54"/>
      <c r="K183" s="54"/>
      <c r="L183" s="54"/>
      <c r="M183" s="54"/>
      <c r="N183" s="54"/>
      <c r="O183" s="54"/>
      <c r="P183" s="54"/>
      <c r="Q183" s="53"/>
      <c r="R183" s="53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9.8" x14ac:dyDescent="0.7">
      <c r="A184" s="59" t="s">
        <v>52</v>
      </c>
      <c r="B184" s="53"/>
      <c r="C184" s="60"/>
      <c r="D184" s="54"/>
      <c r="E184" s="54"/>
      <c r="F184" s="54"/>
      <c r="G184" s="53"/>
      <c r="H184" s="54"/>
      <c r="I184" s="54"/>
      <c r="J184" s="54"/>
      <c r="K184" s="54"/>
      <c r="L184" s="54"/>
      <c r="M184" s="54"/>
      <c r="N184" s="54"/>
      <c r="O184" s="54"/>
      <c r="P184" s="54"/>
      <c r="Q184" s="53"/>
      <c r="R184" s="53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9.8" x14ac:dyDescent="0.7">
      <c r="A185" s="53" t="str">
        <f>'SKU Builder'!C10&amp;'SKU Builder'!C14&amp;'SKU Builder'!C25&amp;"000"&amp;'SKU Builder'!C35&amp;"000"&amp;VLOOKUP(Q4,'SKU Builder'!$A$41:$C$44,3,FALSE)&amp;"000"&amp;"-0"</f>
        <v>P0A000A000A000-0</v>
      </c>
      <c r="B185" s="53" t="str">
        <f>"Catchbox Plus Cube incl charging base, "&amp;Q4</f>
        <v>Catchbox Plus Cube incl charging base, Standard - Red</v>
      </c>
      <c r="C185" s="60">
        <v>599</v>
      </c>
      <c r="D185" s="54"/>
      <c r="E185" s="54"/>
      <c r="F185" s="54"/>
      <c r="G185" s="53"/>
      <c r="H185" s="54"/>
      <c r="I185" s="54"/>
      <c r="J185" s="54"/>
      <c r="K185" s="54"/>
      <c r="L185" s="54"/>
      <c r="M185" s="54"/>
      <c r="N185" s="54"/>
      <c r="O185" s="54"/>
      <c r="P185" s="54"/>
      <c r="Q185" s="54" t="s">
        <v>47</v>
      </c>
      <c r="R185" s="54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9.8" x14ac:dyDescent="0.7">
      <c r="A186" s="53" t="str">
        <f>'SKU Builder'!C10&amp;'SKU Builder'!C14&amp;'SKU Builder'!C25&amp;"000"&amp;'SKU Builder'!C35&amp;"000"&amp;'SKU Builder'!C45&amp;"000"&amp;"-0"</f>
        <v>P0A000A000E000-0</v>
      </c>
      <c r="B186" s="53" t="s">
        <v>53</v>
      </c>
      <c r="C186" s="60">
        <f>C185+50</f>
        <v>649</v>
      </c>
      <c r="D186" s="54"/>
      <c r="E186" s="54"/>
      <c r="F186" s="54"/>
      <c r="G186" s="53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 t="s">
        <v>47</v>
      </c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9.8" x14ac:dyDescent="0.7">
      <c r="A187" s="53" t="str">
        <f>'SKU Builder'!C10&amp;'SKU Builder'!C14&amp;'SKU Builder'!C26&amp;"000"&amp;'SKU Builder'!C36&amp;"000"&amp;VLOOKUP(Q4,'SKU Builder'!A46:C49,3,FALSE)&amp;"000"&amp;"-0"</f>
        <v>P0B000B000F000-0</v>
      </c>
      <c r="B187" s="53" t="str">
        <f>"Catchbox Plus Clip incl single dock charger and dock charger bracket, "&amp;Q4</f>
        <v>Catchbox Plus Clip incl single dock charger and dock charger bracket, Standard - Red</v>
      </c>
      <c r="C187" s="60">
        <v>499</v>
      </c>
      <c r="D187" s="54"/>
      <c r="E187" s="54"/>
      <c r="F187" s="54"/>
      <c r="G187" s="53"/>
      <c r="H187" s="54"/>
      <c r="I187" s="54"/>
      <c r="J187" s="54"/>
      <c r="K187" s="54"/>
      <c r="L187" s="54"/>
      <c r="M187" s="54"/>
      <c r="N187" s="54"/>
      <c r="O187" s="54"/>
      <c r="P187" s="54"/>
      <c r="Q187" s="54" t="s">
        <v>47</v>
      </c>
      <c r="R187" s="54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9.8" x14ac:dyDescent="0.7">
      <c r="A188" s="53" t="str">
        <f>'SKU Builder'!C10&amp;'SKU Builder'!C14&amp;'SKU Builder'!C26&amp;"000"&amp;'SKU Builder'!C36&amp;"000"&amp;'SKU Builder'!C45&amp;"000"&amp;"-0"</f>
        <v>P0B000B000E000-0</v>
      </c>
      <c r="B188" s="53" t="s">
        <v>54</v>
      </c>
      <c r="C188" s="60">
        <f>C187+50</f>
        <v>549</v>
      </c>
      <c r="D188" s="54"/>
      <c r="E188" s="54"/>
      <c r="F188" s="54"/>
      <c r="G188" s="53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 t="s">
        <v>47</v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9.8" x14ac:dyDescent="0.7">
      <c r="A189" s="53" t="str">
        <f>'SKU Builder'!C10&amp;'SKU Builder'!C14&amp;'SKU Builder'!C27&amp;"000"&amp;'SKU Builder'!C36&amp;"000"&amp;VLOOKUP(Q4,'SKU Builder'!A46:C49,3,FALSE)&amp;"000"&amp;"-0"</f>
        <v>P0C000B000F000-0</v>
      </c>
      <c r="B189" s="53" t="str">
        <f>"Catchbox Plus Stick incl single dock charger and dock charger bracket, "&amp;Q4</f>
        <v>Catchbox Plus Stick incl single dock charger and dock charger bracket, Standard - Red</v>
      </c>
      <c r="C189" s="60">
        <f>549</f>
        <v>549</v>
      </c>
      <c r="D189" s="54"/>
      <c r="E189" s="54"/>
      <c r="F189" s="54"/>
      <c r="G189" s="53"/>
      <c r="H189" s="54"/>
      <c r="I189" s="54"/>
      <c r="J189" s="54"/>
      <c r="K189" s="54"/>
      <c r="L189" s="54"/>
      <c r="M189" s="54"/>
      <c r="N189" s="54"/>
      <c r="O189" s="54"/>
      <c r="P189" s="54"/>
      <c r="Q189" s="54" t="s">
        <v>47</v>
      </c>
      <c r="R189" s="54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9.8" x14ac:dyDescent="0.7">
      <c r="A190" s="53" t="str">
        <f>'SKU Builder'!C10&amp;'SKU Builder'!C14&amp;'SKU Builder'!C27&amp;"000"&amp;'SKU Builder'!C36&amp;"000"&amp;'SKU Builder'!C45&amp;"000"&amp;"-0"</f>
        <v>P0C000B000E000-0</v>
      </c>
      <c r="B190" s="53" t="s">
        <v>55</v>
      </c>
      <c r="C190" s="60">
        <f>C189+50</f>
        <v>599</v>
      </c>
      <c r="D190" s="54"/>
      <c r="E190" s="54"/>
      <c r="F190" s="54"/>
      <c r="G190" s="53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 t="s">
        <v>47</v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9.8" x14ac:dyDescent="0.7">
      <c r="A191" s="51"/>
      <c r="B191" s="53"/>
      <c r="C191" s="60"/>
      <c r="D191" s="54"/>
      <c r="E191" s="54"/>
      <c r="F191" s="54"/>
      <c r="G191" s="53"/>
      <c r="H191" s="54"/>
      <c r="I191" s="54"/>
      <c r="J191" s="54"/>
      <c r="K191" s="54"/>
      <c r="L191" s="54"/>
      <c r="M191" s="54"/>
      <c r="N191" s="54"/>
      <c r="O191" s="54"/>
      <c r="P191" s="54"/>
      <c r="Q191" s="54" t="s">
        <v>47</v>
      </c>
      <c r="R191" s="54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9.8" x14ac:dyDescent="0.7">
      <c r="A192" s="59" t="s">
        <v>56</v>
      </c>
      <c r="B192" s="53"/>
      <c r="C192" s="60"/>
      <c r="D192" s="54"/>
      <c r="E192" s="54"/>
      <c r="F192" s="54"/>
      <c r="G192" s="53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 t="s">
        <v>47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9.8" x14ac:dyDescent="0.7">
      <c r="A193" s="53" t="str">
        <f>'SKU Builder'!C10&amp;"000000000"&amp;VLOOKUP(Q4,'SKU Builder'!A41:C44,3,FALSE)&amp;"000"&amp;"-0"</f>
        <v>P000000000A000-0</v>
      </c>
      <c r="B193" s="53" t="str">
        <f>"Cover, "&amp;Q4</f>
        <v>Cover, Standard - Red</v>
      </c>
      <c r="C193" s="60">
        <v>99</v>
      </c>
      <c r="D193" s="54"/>
      <c r="E193" s="54"/>
      <c r="F193" s="54"/>
      <c r="G193" s="53"/>
      <c r="H193" s="54"/>
      <c r="I193" s="54"/>
      <c r="J193" s="54"/>
      <c r="K193" s="54"/>
      <c r="L193" s="54"/>
      <c r="M193" s="54"/>
      <c r="N193" s="54"/>
      <c r="O193" s="54"/>
      <c r="P193" s="54"/>
      <c r="Q193" s="54" t="s">
        <v>47</v>
      </c>
      <c r="R193" s="54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9.8" x14ac:dyDescent="0.7">
      <c r="A194" s="53" t="str">
        <f>'SKU Builder'!C10&amp;"000000000"&amp;'SKU Builder'!C45&amp;"000"&amp;"-0"</f>
        <v>P000000000E000-0</v>
      </c>
      <c r="B194" s="53" t="s">
        <v>57</v>
      </c>
      <c r="C194" s="60">
        <v>149</v>
      </c>
      <c r="D194" s="54"/>
      <c r="E194" s="54"/>
      <c r="F194" s="54"/>
      <c r="G194" s="53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 t="s">
        <v>47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9.8" x14ac:dyDescent="0.7">
      <c r="A195" s="53" t="str">
        <f>'SKU Builder'!C10&amp;"000000000"&amp;VLOOKUP(Q4,'SKU Builder'!A46:C49,3,FALSE)&amp;"000"&amp;"-0"</f>
        <v>P000000000F000-0</v>
      </c>
      <c r="B195" s="53" t="str">
        <f>"Clip Jacket, "&amp;Q4</f>
        <v>Clip Jacket, Standard - Red</v>
      </c>
      <c r="C195" s="60">
        <v>59</v>
      </c>
      <c r="D195" s="54"/>
      <c r="E195" s="54"/>
      <c r="F195" s="54"/>
      <c r="G195" s="53"/>
      <c r="H195" s="54"/>
      <c r="I195" s="54"/>
      <c r="J195" s="54"/>
      <c r="K195" s="54"/>
      <c r="L195" s="54"/>
      <c r="M195" s="54"/>
      <c r="N195" s="54"/>
      <c r="O195" s="54"/>
      <c r="P195" s="54"/>
      <c r="Q195" s="54" t="s">
        <v>47</v>
      </c>
      <c r="R195" s="54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9.8" x14ac:dyDescent="0.7">
      <c r="A196" s="53" t="str">
        <f>'SKU Builder'!C10&amp;"000000000"&amp;'SKU Builder'!C50&amp;"000"&amp;"-0"</f>
        <v>P000000000J000-0</v>
      </c>
      <c r="B196" s="53" t="s">
        <v>58</v>
      </c>
      <c r="C196" s="60">
        <v>109</v>
      </c>
      <c r="D196" s="54"/>
      <c r="E196" s="54"/>
      <c r="F196" s="54"/>
      <c r="G196" s="53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 t="s">
        <v>47</v>
      </c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9.8" x14ac:dyDescent="0.7">
      <c r="A197" s="53" t="str">
        <f>'SKU Builder'!C10&amp;"000000000"&amp;VLOOKUP(Q4,'SKU Builder'!A51:C54,3,FALSE)&amp;"000"&amp;"-0"</f>
        <v>P000000000K000-0</v>
      </c>
      <c r="B197" s="53" t="str">
        <f>"Stick Jackets, "&amp;Q4</f>
        <v>Stick Jackets, Standard - Red</v>
      </c>
      <c r="C197" s="60">
        <v>99</v>
      </c>
      <c r="D197" s="54"/>
      <c r="E197" s="54"/>
      <c r="F197" s="54"/>
      <c r="G197" s="53"/>
      <c r="H197" s="54"/>
      <c r="I197" s="54"/>
      <c r="J197" s="54"/>
      <c r="K197" s="54"/>
      <c r="L197" s="54"/>
      <c r="M197" s="54"/>
      <c r="N197" s="54"/>
      <c r="O197" s="54"/>
      <c r="P197" s="54"/>
      <c r="Q197" s="54" t="s">
        <v>47</v>
      </c>
      <c r="R197" s="54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9.8" x14ac:dyDescent="0.7">
      <c r="A198" s="53" t="str">
        <f>'SKU Builder'!C10&amp;"000000000"&amp;'SKU Builder'!C55&amp;"000"&amp;"-0"</f>
        <v>P000000000O000-0</v>
      </c>
      <c r="B198" s="53" t="s">
        <v>59</v>
      </c>
      <c r="C198" s="60">
        <v>149</v>
      </c>
      <c r="D198" s="54"/>
      <c r="E198" s="54"/>
      <c r="F198" s="54"/>
      <c r="G198" s="53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 t="s">
        <v>47</v>
      </c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9.8" x14ac:dyDescent="0.7">
      <c r="A199" s="51"/>
      <c r="B199" s="53"/>
      <c r="C199" s="60"/>
      <c r="D199" s="54"/>
      <c r="E199" s="54"/>
      <c r="F199" s="54"/>
      <c r="G199" s="53"/>
      <c r="H199" s="54"/>
      <c r="I199" s="54"/>
      <c r="J199" s="54"/>
      <c r="K199" s="54"/>
      <c r="L199" s="54"/>
      <c r="M199" s="54"/>
      <c r="N199" s="54"/>
      <c r="O199" s="54"/>
      <c r="P199" s="54"/>
      <c r="Q199" s="54" t="s">
        <v>47</v>
      </c>
      <c r="R199" s="54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9.8" x14ac:dyDescent="0.7">
      <c r="A200" s="59" t="s">
        <v>60</v>
      </c>
      <c r="B200" s="53"/>
      <c r="C200" s="60"/>
      <c r="D200" s="54"/>
      <c r="E200" s="54"/>
      <c r="F200" s="54"/>
      <c r="G200" s="53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 t="s">
        <v>47</v>
      </c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9.8" x14ac:dyDescent="0.7">
      <c r="A201" s="53" t="str">
        <f>'SKU Builder'!C10&amp;'SKU Builder'!C14&amp;'SKU Builder'!C25&amp;"00000000000-0"</f>
        <v>P0A00000000000-0</v>
      </c>
      <c r="B201" s="53" t="s">
        <v>61</v>
      </c>
      <c r="C201" s="60">
        <v>399</v>
      </c>
      <c r="D201" s="54"/>
      <c r="E201" s="54"/>
      <c r="F201" s="54"/>
      <c r="G201" s="53"/>
      <c r="H201" s="54"/>
      <c r="I201" s="54"/>
      <c r="J201" s="54"/>
      <c r="K201" s="54"/>
      <c r="L201" s="54"/>
      <c r="M201" s="54"/>
      <c r="N201" s="54"/>
      <c r="O201" s="54"/>
      <c r="P201" s="54"/>
      <c r="Q201" s="53"/>
      <c r="R201" s="53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9.8" x14ac:dyDescent="0.7">
      <c r="A202" s="53" t="str">
        <f>'SKU Builder'!C10&amp;'SKU Builder'!C14&amp;'SKU Builder'!C26&amp;"00000000000-0"</f>
        <v>P0B00000000000-0</v>
      </c>
      <c r="B202" s="53" t="s">
        <v>62</v>
      </c>
      <c r="C202" s="60">
        <v>349</v>
      </c>
      <c r="D202" s="54"/>
      <c r="E202" s="54"/>
      <c r="F202" s="54"/>
      <c r="G202" s="53"/>
      <c r="H202" s="54"/>
      <c r="I202" s="54"/>
      <c r="J202" s="54"/>
      <c r="K202" s="54"/>
      <c r="L202" s="54"/>
      <c r="M202" s="54"/>
      <c r="N202" s="54"/>
      <c r="O202" s="54"/>
      <c r="P202" s="54"/>
      <c r="Q202" s="53"/>
      <c r="R202" s="53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9.8" x14ac:dyDescent="0.7">
      <c r="A203" s="53" t="str">
        <f>'SKU Builder'!C10&amp;'SKU Builder'!C14&amp;'SKU Builder'!C27&amp;"00000000000-0"</f>
        <v>P0C00000000000-0</v>
      </c>
      <c r="B203" s="53" t="s">
        <v>63</v>
      </c>
      <c r="C203" s="60">
        <v>399</v>
      </c>
      <c r="D203" s="54"/>
      <c r="E203" s="54"/>
      <c r="F203" s="54"/>
      <c r="G203" s="53"/>
      <c r="H203" s="54"/>
      <c r="I203" s="54"/>
      <c r="J203" s="54"/>
      <c r="K203" s="54"/>
      <c r="L203" s="54"/>
      <c r="M203" s="54"/>
      <c r="N203" s="54"/>
      <c r="O203" s="54"/>
      <c r="P203" s="54"/>
      <c r="Q203" s="53"/>
      <c r="R203" s="53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9.8" x14ac:dyDescent="0.7">
      <c r="A204" s="53" t="str">
        <f>'SKU Builder'!$C$10&amp;'SKU Builder'!C15&amp;"000000000000-0"</f>
        <v>PA000000000000-0</v>
      </c>
      <c r="B204" s="53" t="s">
        <v>64</v>
      </c>
      <c r="C204" s="60">
        <v>849</v>
      </c>
      <c r="D204" s="54"/>
      <c r="E204" s="54"/>
      <c r="F204" s="54"/>
      <c r="G204" s="53"/>
      <c r="H204" s="54"/>
      <c r="I204" s="54"/>
      <c r="J204" s="54"/>
      <c r="K204" s="54"/>
      <c r="L204" s="54"/>
      <c r="M204" s="54"/>
      <c r="N204" s="54"/>
      <c r="O204" s="54"/>
      <c r="P204" s="54"/>
      <c r="Q204" s="53"/>
      <c r="R204" s="53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9.8" x14ac:dyDescent="0.7">
      <c r="A205" s="53" t="str">
        <f>'SKU Builder'!$C$10&amp;'SKU Builder'!C16&amp;"000000000000-0"</f>
        <v>PB000000000000-0</v>
      </c>
      <c r="B205" s="53" t="s">
        <v>65</v>
      </c>
      <c r="C205" s="60">
        <f>C204+300</f>
        <v>1149</v>
      </c>
      <c r="D205" s="54"/>
      <c r="E205" s="54"/>
      <c r="F205" s="54"/>
      <c r="G205" s="53"/>
      <c r="H205" s="54"/>
      <c r="I205" s="54"/>
      <c r="J205" s="54"/>
      <c r="K205" s="54"/>
      <c r="L205" s="54"/>
      <c r="M205" s="54"/>
      <c r="N205" s="54"/>
      <c r="O205" s="54"/>
      <c r="P205" s="54"/>
      <c r="Q205" s="53"/>
      <c r="R205" s="53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9.8" x14ac:dyDescent="0.7">
      <c r="A206" s="53" t="str">
        <f>'SKU Builder'!$C$10&amp;'SKU Builder'!C17&amp;"000000000000-0"</f>
        <v>PC000000000000-0</v>
      </c>
      <c r="B206" s="53" t="s">
        <v>66</v>
      </c>
      <c r="C206" s="60">
        <v>1399</v>
      </c>
      <c r="D206" s="54"/>
      <c r="E206" s="54"/>
      <c r="F206" s="54"/>
      <c r="G206" s="53"/>
      <c r="H206" s="54"/>
      <c r="I206" s="54"/>
      <c r="J206" s="54"/>
      <c r="K206" s="54"/>
      <c r="L206" s="54"/>
      <c r="M206" s="54"/>
      <c r="N206" s="54"/>
      <c r="O206" s="54"/>
      <c r="P206" s="54"/>
      <c r="Q206" s="53"/>
      <c r="R206" s="53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9.8" x14ac:dyDescent="0.7">
      <c r="A207" s="53" t="str">
        <f>'SKU Builder'!$C$10&amp;'SKU Builder'!C18&amp;"000000000000-0"</f>
        <v>PD000000000000-0</v>
      </c>
      <c r="B207" s="53" t="s">
        <v>67</v>
      </c>
      <c r="C207" s="60">
        <f>C206+300</f>
        <v>1699</v>
      </c>
      <c r="D207" s="54"/>
      <c r="E207" s="54"/>
      <c r="F207" s="54"/>
      <c r="G207" s="53"/>
      <c r="H207" s="54"/>
      <c r="I207" s="54"/>
      <c r="J207" s="54"/>
      <c r="K207" s="54"/>
      <c r="L207" s="54"/>
      <c r="M207" s="54"/>
      <c r="N207" s="54"/>
      <c r="O207" s="54"/>
      <c r="P207" s="54"/>
      <c r="Q207" s="53"/>
      <c r="R207" s="53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9.8" x14ac:dyDescent="0.7">
      <c r="A208" s="53" t="str">
        <f>'SKU Builder'!C10&amp;'SKU Builder'!C14&amp;"0000"&amp;'SKU Builder'!C35&amp;"0000000-0"</f>
        <v>P00000A0000000-0</v>
      </c>
      <c r="B208" s="53" t="s">
        <v>68</v>
      </c>
      <c r="C208" s="60">
        <v>199</v>
      </c>
      <c r="D208" s="54"/>
      <c r="E208" s="54"/>
      <c r="F208" s="54"/>
      <c r="G208" s="53"/>
      <c r="H208" s="54"/>
      <c r="I208" s="54"/>
      <c r="J208" s="54"/>
      <c r="K208" s="54"/>
      <c r="L208" s="54"/>
      <c r="M208" s="54"/>
      <c r="N208" s="54"/>
      <c r="O208" s="54"/>
      <c r="P208" s="54"/>
      <c r="Q208" s="53"/>
      <c r="R208" s="53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9.8" x14ac:dyDescent="0.7">
      <c r="A209" s="53" t="str">
        <f>'SKU Builder'!C10&amp;'SKU Builder'!C14&amp;"0000"&amp;'SKU Builder'!C36&amp;"0000000"&amp;"-0"</f>
        <v>P00000B0000000-0</v>
      </c>
      <c r="B209" s="53" t="s">
        <v>69</v>
      </c>
      <c r="C209" s="60">
        <v>149</v>
      </c>
      <c r="D209" s="54"/>
      <c r="E209" s="54"/>
      <c r="F209" s="54"/>
      <c r="G209" s="53"/>
      <c r="H209" s="54"/>
      <c r="I209" s="54"/>
      <c r="J209" s="54"/>
      <c r="K209" s="54"/>
      <c r="L209" s="54"/>
      <c r="M209" s="54"/>
      <c r="N209" s="54"/>
      <c r="O209" s="54"/>
      <c r="P209" s="54"/>
      <c r="Q209" s="53"/>
      <c r="R209" s="53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9.8" x14ac:dyDescent="0.7">
      <c r="A210" s="53" t="str">
        <f>'SKU Builder'!C10&amp;'SKU Builder'!C14&amp;"0000"&amp;'SKU Builder'!C37&amp;"0000000"&amp;"-0"</f>
        <v>P00000C0000000-0</v>
      </c>
      <c r="B210" s="53" t="s">
        <v>70</v>
      </c>
      <c r="C210" s="60">
        <v>199</v>
      </c>
      <c r="D210" s="54"/>
      <c r="E210" s="54"/>
      <c r="F210" s="54"/>
      <c r="G210" s="53"/>
      <c r="H210" s="54"/>
      <c r="I210" s="54"/>
      <c r="J210" s="54"/>
      <c r="K210" s="54"/>
      <c r="L210" s="54"/>
      <c r="M210" s="54"/>
      <c r="N210" s="54"/>
      <c r="O210" s="54"/>
      <c r="P210" s="54"/>
      <c r="Q210" s="53"/>
      <c r="R210" s="53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9.8" x14ac:dyDescent="0.7">
      <c r="A211" s="53" t="str">
        <f>'SKU Builder'!V10&amp;'SKU Builder'!C14&amp;"000000000000-"&amp;'SKU Builder'!V29</f>
        <v>A0000000000000-P</v>
      </c>
      <c r="B211" s="53" t="s">
        <v>71</v>
      </c>
      <c r="C211" s="60">
        <v>50</v>
      </c>
      <c r="D211" s="54"/>
      <c r="E211" s="54"/>
      <c r="F211" s="54"/>
      <c r="G211" s="53"/>
      <c r="H211" s="54"/>
      <c r="I211" s="54"/>
      <c r="J211" s="54"/>
      <c r="K211" s="54"/>
      <c r="L211" s="54"/>
      <c r="M211" s="54"/>
      <c r="N211" s="54"/>
      <c r="O211" s="54"/>
      <c r="P211" s="54"/>
      <c r="Q211" s="53"/>
      <c r="R211" s="53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9.8" x14ac:dyDescent="0.7">
      <c r="A212" s="53" t="str">
        <f>'SKU Builder'!V10&amp;'SKU Builder'!C14&amp;"000000000000-"&amp;'SKU Builder'!V15</f>
        <v>A0000000000000-B</v>
      </c>
      <c r="B212" s="53" t="s">
        <v>72</v>
      </c>
      <c r="C212" s="60">
        <v>39</v>
      </c>
      <c r="D212" s="54"/>
      <c r="E212" s="54"/>
      <c r="F212" s="54"/>
      <c r="G212" s="53"/>
      <c r="H212" s="54"/>
      <c r="I212" s="54"/>
      <c r="J212" s="54"/>
      <c r="K212" s="54"/>
      <c r="L212" s="54"/>
      <c r="M212" s="54"/>
      <c r="N212" s="54"/>
      <c r="O212" s="54"/>
      <c r="P212" s="54"/>
      <c r="Q212" s="53"/>
      <c r="R212" s="53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9.8" x14ac:dyDescent="0.7">
      <c r="A213" s="53" t="str">
        <f>'SKU Builder'!V10&amp;'SKU Builder'!C14&amp;"000000000000-"&amp;'SKU Builder'!V16</f>
        <v>A0000000000000-C</v>
      </c>
      <c r="B213" s="53" t="s">
        <v>73</v>
      </c>
      <c r="C213" s="60">
        <v>24</v>
      </c>
      <c r="D213" s="54"/>
      <c r="E213" s="54"/>
      <c r="F213" s="54"/>
      <c r="G213" s="53"/>
      <c r="H213" s="54"/>
      <c r="I213" s="54"/>
      <c r="J213" s="54"/>
      <c r="K213" s="54"/>
      <c r="L213" s="54"/>
      <c r="M213" s="54"/>
      <c r="N213" s="54"/>
      <c r="O213" s="54"/>
      <c r="P213" s="54"/>
      <c r="Q213" s="53"/>
      <c r="R213" s="53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9.8" x14ac:dyDescent="0.7">
      <c r="A214" s="53" t="str">
        <f>'SKU Builder'!V10&amp;'SKU Builder'!C14&amp;"000000000000-"&amp;'SKU Builder'!V28</f>
        <v>A0000000000000-O</v>
      </c>
      <c r="B214" s="53" t="s">
        <v>74</v>
      </c>
      <c r="C214" s="60">
        <v>24</v>
      </c>
      <c r="D214" s="54"/>
      <c r="E214" s="54"/>
      <c r="F214" s="54"/>
      <c r="G214" s="53"/>
      <c r="H214" s="54"/>
      <c r="I214" s="54"/>
      <c r="J214" s="54"/>
      <c r="K214" s="54"/>
      <c r="L214" s="54"/>
      <c r="M214" s="54"/>
      <c r="N214" s="54"/>
      <c r="O214" s="54"/>
      <c r="P214" s="54"/>
      <c r="Q214" s="53"/>
      <c r="R214" s="53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9.8" x14ac:dyDescent="0.7">
      <c r="A215" s="53" t="str">
        <f>'SKU Builder'!V10&amp;'SKU Builder'!C14&amp;"000000000000-"&amp;'SKU Builder'!V27</f>
        <v>A0000000000000-N</v>
      </c>
      <c r="B215" s="53" t="s">
        <v>75</v>
      </c>
      <c r="C215" s="60">
        <v>24</v>
      </c>
      <c r="D215" s="54"/>
      <c r="E215" s="54"/>
      <c r="F215" s="54"/>
      <c r="G215" s="53"/>
      <c r="H215" s="54"/>
      <c r="I215" s="54"/>
      <c r="J215" s="54"/>
      <c r="K215" s="54"/>
      <c r="L215" s="54"/>
      <c r="M215" s="54"/>
      <c r="N215" s="54"/>
      <c r="O215" s="54"/>
      <c r="P215" s="54"/>
      <c r="Q215" s="53"/>
      <c r="R215" s="53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9.8" x14ac:dyDescent="0.7">
      <c r="A216" s="53" t="str">
        <f>'SKU Builder'!V10&amp;'SKU Builder'!C14&amp;"000000000000-"&amp;'SKU Builder'!V19</f>
        <v>A0000000000000-F</v>
      </c>
      <c r="B216" s="53" t="s">
        <v>76</v>
      </c>
      <c r="C216" s="60">
        <v>24</v>
      </c>
      <c r="D216" s="54"/>
      <c r="E216" s="54"/>
      <c r="F216" s="54"/>
      <c r="G216" s="53"/>
      <c r="H216" s="54"/>
      <c r="I216" s="54"/>
      <c r="J216" s="54"/>
      <c r="K216" s="54"/>
      <c r="L216" s="54"/>
      <c r="M216" s="54"/>
      <c r="N216" s="54"/>
      <c r="O216" s="54"/>
      <c r="P216" s="54"/>
      <c r="Q216" s="53"/>
      <c r="R216" s="53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9.8" x14ac:dyDescent="0.7">
      <c r="A217" s="51"/>
      <c r="B217" s="53"/>
      <c r="C217" s="60"/>
      <c r="D217" s="54"/>
      <c r="E217" s="54"/>
      <c r="F217" s="54"/>
      <c r="G217" s="53"/>
      <c r="H217" s="54"/>
      <c r="I217" s="54"/>
      <c r="J217" s="54"/>
      <c r="K217" s="54"/>
      <c r="L217" s="54"/>
      <c r="M217" s="54"/>
      <c r="N217" s="54"/>
      <c r="O217" s="54"/>
      <c r="P217" s="54"/>
      <c r="Q217" s="53"/>
      <c r="R217" s="53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9.8" x14ac:dyDescent="0.7">
      <c r="A218" s="59" t="s">
        <v>77</v>
      </c>
      <c r="B218" s="53"/>
      <c r="C218" s="60"/>
      <c r="D218" s="54"/>
      <c r="E218" s="54"/>
      <c r="F218" s="54"/>
      <c r="G218" s="53"/>
      <c r="H218" s="54"/>
      <c r="I218" s="54"/>
      <c r="J218" s="54"/>
      <c r="K218" s="54"/>
      <c r="L218" s="54"/>
      <c r="M218" s="54"/>
      <c r="N218" s="54"/>
      <c r="O218" s="54"/>
      <c r="P218" s="54"/>
      <c r="Q218" s="53"/>
      <c r="R218" s="53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9.8" x14ac:dyDescent="0.7">
      <c r="A219" s="53" t="str">
        <f>'SKU Builder'!G10&amp;"0"&amp;'SKU Builder'!G14&amp;"0000000"&amp;VLOOKUP(Q4,'SKU Builder'!$E$19:$G$22,3,FALSE)&amp;"000-0"</f>
        <v>B0A0000000A000-0</v>
      </c>
      <c r="B219" s="53" t="str">
        <f>"Bodypack Converter, "&amp;Q4</f>
        <v>Bodypack Converter, Standard - Red</v>
      </c>
      <c r="C219" s="60">
        <f>'Input for bundle selection'!B81</f>
        <v>799</v>
      </c>
      <c r="D219" s="54"/>
      <c r="E219" s="54"/>
      <c r="F219" s="54"/>
      <c r="G219" s="53"/>
      <c r="H219" s="54"/>
      <c r="I219" s="54"/>
      <c r="J219" s="54"/>
      <c r="K219" s="54"/>
      <c r="L219" s="54"/>
      <c r="M219" s="54"/>
      <c r="N219" s="54"/>
      <c r="O219" s="54"/>
      <c r="P219" s="54"/>
      <c r="Q219" s="53"/>
      <c r="R219" s="53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9.8" x14ac:dyDescent="0.7">
      <c r="A220" s="53" t="str">
        <f>'SKU Builder'!G10&amp;"0"&amp;'SKU Builder'!G14&amp;"0000000"&amp;'SKU Builder'!G23&amp;"000-0"</f>
        <v>B0A0000000E000-0</v>
      </c>
      <c r="B220" s="53" t="s">
        <v>78</v>
      </c>
      <c r="C220" s="60">
        <f>C219+50</f>
        <v>849</v>
      </c>
      <c r="D220" s="54"/>
      <c r="E220" s="54"/>
      <c r="F220" s="54"/>
      <c r="G220" s="53"/>
      <c r="H220" s="54"/>
      <c r="I220" s="54"/>
      <c r="J220" s="54"/>
      <c r="K220" s="54"/>
      <c r="L220" s="54"/>
      <c r="M220" s="54"/>
      <c r="N220" s="54"/>
      <c r="O220" s="54"/>
      <c r="P220" s="54"/>
      <c r="Q220" s="53"/>
      <c r="R220" s="53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9.8" x14ac:dyDescent="0.7">
      <c r="A221" s="51"/>
      <c r="B221" s="53"/>
      <c r="C221" s="60"/>
      <c r="D221" s="54"/>
      <c r="E221" s="54"/>
      <c r="F221" s="54"/>
      <c r="G221" s="53"/>
      <c r="H221" s="54"/>
      <c r="I221" s="54"/>
      <c r="J221" s="54"/>
      <c r="K221" s="54"/>
      <c r="L221" s="54"/>
      <c r="M221" s="54"/>
      <c r="N221" s="54"/>
      <c r="O221" s="54"/>
      <c r="P221" s="54"/>
      <c r="Q221" s="53"/>
      <c r="R221" s="53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9.8" x14ac:dyDescent="0.7">
      <c r="A222" s="59" t="s">
        <v>79</v>
      </c>
      <c r="B222" s="53"/>
      <c r="C222" s="60"/>
      <c r="D222" s="54"/>
      <c r="E222" s="54"/>
      <c r="F222" s="54"/>
      <c r="G222" s="53"/>
      <c r="H222" s="54"/>
      <c r="I222" s="54"/>
      <c r="J222" s="54"/>
      <c r="K222" s="54"/>
      <c r="L222" s="54"/>
      <c r="M222" s="54"/>
      <c r="N222" s="54"/>
      <c r="O222" s="54"/>
      <c r="P222" s="54"/>
      <c r="Q222" s="53"/>
      <c r="R222" s="53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9.8" x14ac:dyDescent="0.7">
      <c r="A223" s="53" t="str">
        <f>'SKU Builder'!G10&amp;"0000000000000-"&amp;'SKU Builder'!G29</f>
        <v>B0000000000000-C</v>
      </c>
      <c r="B223" s="53" t="s">
        <v>80</v>
      </c>
      <c r="C223" s="60">
        <v>250</v>
      </c>
      <c r="D223" s="54"/>
      <c r="E223" s="54"/>
      <c r="F223" s="54"/>
      <c r="G223" s="53"/>
      <c r="H223" s="54"/>
      <c r="I223" s="54"/>
      <c r="J223" s="54"/>
      <c r="K223" s="54"/>
      <c r="L223" s="54"/>
      <c r="M223" s="54"/>
      <c r="N223" s="54"/>
      <c r="O223" s="54"/>
      <c r="P223" s="54"/>
      <c r="Q223" s="54" t="s">
        <v>47</v>
      </c>
      <c r="R223" s="54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9.8" x14ac:dyDescent="0.7">
      <c r="A224" s="53" t="str">
        <f>'SKU Builder'!G10&amp;"0000000000000-"&amp;'SKU Builder'!G27</f>
        <v>B0000000000000-A</v>
      </c>
      <c r="B224" s="53" t="s">
        <v>81</v>
      </c>
      <c r="C224" s="60">
        <v>24</v>
      </c>
      <c r="D224" s="54"/>
      <c r="E224" s="54"/>
      <c r="F224" s="54"/>
      <c r="G224" s="53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 t="s">
        <v>47</v>
      </c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9.8" x14ac:dyDescent="0.7">
      <c r="A225" s="53" t="str">
        <f>'SKU Builder'!G10&amp;"0000000000000-"&amp;'SKU Builder'!G28</f>
        <v>B0000000000000-B</v>
      </c>
      <c r="B225" s="53" t="s">
        <v>82</v>
      </c>
      <c r="C225" s="60">
        <v>24</v>
      </c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7"/>
      <c r="P225" s="7"/>
      <c r="Q225" s="62"/>
      <c r="R225" s="62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9.8" x14ac:dyDescent="0.7">
      <c r="A226" s="53" t="s">
        <v>83</v>
      </c>
      <c r="B226" s="53" t="s">
        <v>84</v>
      </c>
      <c r="C226" s="60">
        <v>34</v>
      </c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7"/>
      <c r="P226" s="7"/>
      <c r="Q226" s="62"/>
      <c r="R226" s="62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9.8" x14ac:dyDescent="0.7">
      <c r="A227" s="53" t="s">
        <v>85</v>
      </c>
      <c r="B227" s="53" t="s">
        <v>86</v>
      </c>
      <c r="C227" s="60">
        <v>689</v>
      </c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7"/>
      <c r="P227" s="7"/>
      <c r="Q227" s="62"/>
      <c r="R227" s="62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9.8" x14ac:dyDescent="0.7">
      <c r="A228" s="51"/>
      <c r="B228" s="7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7"/>
      <c r="P228" s="7"/>
      <c r="Q228" s="62"/>
      <c r="R228" s="62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9.8" x14ac:dyDescent="0.7">
      <c r="A229" s="51"/>
      <c r="B229" s="7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7"/>
      <c r="P229" s="7"/>
      <c r="Q229" s="62"/>
      <c r="R229" s="62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9.8" x14ac:dyDescent="0.7">
      <c r="A230" s="51"/>
      <c r="B230" s="7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7"/>
      <c r="P230" s="7"/>
      <c r="Q230" s="62"/>
      <c r="R230" s="62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9.8" x14ac:dyDescent="0.7">
      <c r="A231" s="51"/>
      <c r="B231" s="7"/>
      <c r="C231" s="60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7"/>
      <c r="P231" s="7"/>
      <c r="Q231" s="62"/>
      <c r="R231" s="62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9.8" x14ac:dyDescent="0.7">
      <c r="A232" s="51"/>
      <c r="B232" s="7"/>
      <c r="C232" s="60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7"/>
      <c r="P232" s="7"/>
      <c r="Q232" s="62"/>
      <c r="R232" s="62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9.8" x14ac:dyDescent="0.7">
      <c r="A233" s="51"/>
      <c r="B233" s="7"/>
      <c r="C233" s="60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7"/>
      <c r="P233" s="7"/>
      <c r="Q233" s="62"/>
      <c r="R233" s="62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9.8" x14ac:dyDescent="0.7">
      <c r="A234" s="51"/>
      <c r="B234" s="7"/>
      <c r="C234" s="60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7"/>
      <c r="P234" s="7"/>
      <c r="Q234" s="62"/>
      <c r="R234" s="62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19.8" x14ac:dyDescent="0.7">
      <c r="A235" s="51"/>
      <c r="B235" s="7"/>
      <c r="C235" s="60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7"/>
      <c r="P235" s="7"/>
      <c r="Q235" s="62"/>
      <c r="R235" s="62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9.8" x14ac:dyDescent="0.7">
      <c r="A236" s="51"/>
      <c r="B236" s="7"/>
      <c r="C236" s="60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7"/>
      <c r="P236" s="7"/>
      <c r="Q236" s="62"/>
      <c r="R236" s="62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9.8" x14ac:dyDescent="0.7">
      <c r="A237" s="51"/>
      <c r="B237" s="7"/>
      <c r="C237" s="60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7"/>
      <c r="P237" s="7"/>
      <c r="Q237" s="62"/>
      <c r="R237" s="62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9.8" x14ac:dyDescent="0.7">
      <c r="A238" s="51"/>
      <c r="B238" s="7"/>
      <c r="C238" s="60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7"/>
      <c r="P238" s="7"/>
      <c r="Q238" s="62"/>
      <c r="R238" s="62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9.8" x14ac:dyDescent="0.7">
      <c r="A239" s="51"/>
      <c r="B239" s="7"/>
      <c r="C239" s="60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7"/>
      <c r="P239" s="7"/>
      <c r="Q239" s="62"/>
      <c r="R239" s="62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9.8" x14ac:dyDescent="0.7">
      <c r="A240" s="51"/>
      <c r="B240" s="7"/>
      <c r="C240" s="63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7"/>
      <c r="P240" s="7"/>
      <c r="Q240" s="62"/>
      <c r="R240" s="62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9.8" x14ac:dyDescent="0.7">
      <c r="A241" s="51"/>
      <c r="B241" s="7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7"/>
      <c r="P241" s="7"/>
      <c r="Q241" s="62"/>
      <c r="R241" s="62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9.8" x14ac:dyDescent="0.7">
      <c r="A242" s="51"/>
      <c r="B242" s="7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7"/>
      <c r="P242" s="7"/>
      <c r="Q242" s="62"/>
      <c r="R242" s="62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9.8" x14ac:dyDescent="0.7">
      <c r="A243" s="51"/>
      <c r="B243" s="7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7"/>
      <c r="P243" s="7"/>
      <c r="Q243" s="62"/>
      <c r="R243" s="62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9.8" x14ac:dyDescent="0.7">
      <c r="A244" s="51"/>
      <c r="B244" s="7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7"/>
      <c r="P244" s="7"/>
      <c r="Q244" s="62"/>
      <c r="R244" s="62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9.8" x14ac:dyDescent="0.7">
      <c r="A245" s="51"/>
      <c r="B245" s="7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7"/>
      <c r="P245" s="7"/>
      <c r="Q245" s="62"/>
      <c r="R245" s="62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9.8" x14ac:dyDescent="0.7">
      <c r="A246" s="51"/>
      <c r="B246" s="7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7"/>
      <c r="P246" s="7"/>
      <c r="Q246" s="62"/>
      <c r="R246" s="62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9.8" x14ac:dyDescent="0.7">
      <c r="A247" s="51"/>
      <c r="B247" s="7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7"/>
      <c r="P247" s="7"/>
      <c r="Q247" s="62"/>
      <c r="R247" s="62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9.8" x14ac:dyDescent="0.7">
      <c r="A248" s="51"/>
      <c r="B248" s="7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7"/>
      <c r="P248" s="7"/>
      <c r="Q248" s="62"/>
      <c r="R248" s="62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9.8" x14ac:dyDescent="0.7">
      <c r="A249" s="51"/>
      <c r="B249" s="7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7"/>
      <c r="P249" s="7"/>
      <c r="Q249" s="62"/>
      <c r="R249" s="62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9.8" x14ac:dyDescent="0.7">
      <c r="A250" s="51"/>
      <c r="B250" s="7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7"/>
      <c r="P250" s="7"/>
      <c r="Q250" s="62"/>
      <c r="R250" s="62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9.8" x14ac:dyDescent="0.7">
      <c r="A251" s="51"/>
      <c r="B251" s="7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7"/>
      <c r="P251" s="7"/>
      <c r="Q251" s="62"/>
      <c r="R251" s="62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9.8" x14ac:dyDescent="0.7">
      <c r="A252" s="51"/>
      <c r="B252" s="7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7"/>
      <c r="P252" s="7"/>
      <c r="Q252" s="62"/>
      <c r="R252" s="62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9.8" x14ac:dyDescent="0.7">
      <c r="A253" s="51"/>
      <c r="B253" s="7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7"/>
      <c r="P253" s="7"/>
      <c r="Q253" s="62"/>
      <c r="R253" s="62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9.8" x14ac:dyDescent="0.7">
      <c r="A254" s="51"/>
      <c r="B254" s="7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7"/>
      <c r="P254" s="7"/>
      <c r="Q254" s="62"/>
      <c r="R254" s="62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9.8" x14ac:dyDescent="0.7">
      <c r="A255" s="51"/>
      <c r="B255" s="7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7"/>
      <c r="P255" s="7"/>
      <c r="Q255" s="62"/>
      <c r="R255" s="62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9.8" x14ac:dyDescent="0.7">
      <c r="A256" s="51"/>
      <c r="B256" s="7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7"/>
      <c r="P256" s="7"/>
      <c r="Q256" s="62"/>
      <c r="R256" s="62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9.8" x14ac:dyDescent="0.7">
      <c r="A257" s="51"/>
      <c r="B257" s="7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7"/>
      <c r="P257" s="7"/>
      <c r="Q257" s="62"/>
      <c r="R257" s="62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9.8" x14ac:dyDescent="0.7">
      <c r="A258" s="51"/>
      <c r="B258" s="7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7"/>
      <c r="P258" s="7"/>
      <c r="Q258" s="62"/>
      <c r="R258" s="62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9.8" x14ac:dyDescent="0.7">
      <c r="A259" s="51"/>
      <c r="B259" s="7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7"/>
      <c r="P259" s="7"/>
      <c r="Q259" s="62"/>
      <c r="R259" s="62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9.8" x14ac:dyDescent="0.7">
      <c r="A260" s="51"/>
      <c r="B260" s="7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7"/>
      <c r="P260" s="7"/>
      <c r="Q260" s="62"/>
      <c r="R260" s="62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9.8" x14ac:dyDescent="0.7">
      <c r="A261" s="51"/>
      <c r="B261" s="7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7"/>
      <c r="P261" s="7"/>
      <c r="Q261" s="62"/>
      <c r="R261" s="62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9.8" x14ac:dyDescent="0.7">
      <c r="A262" s="51"/>
      <c r="B262" s="7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7"/>
      <c r="P262" s="7"/>
      <c r="Q262" s="62"/>
      <c r="R262" s="62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9.8" x14ac:dyDescent="0.7">
      <c r="A263" s="51"/>
      <c r="B263" s="7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7"/>
      <c r="P263" s="7"/>
      <c r="Q263" s="62"/>
      <c r="R263" s="62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19.8" x14ac:dyDescent="0.7">
      <c r="A264" s="51"/>
      <c r="B264" s="7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7"/>
      <c r="P264" s="7"/>
      <c r="Q264" s="62"/>
      <c r="R264" s="62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9.8" x14ac:dyDescent="0.7">
      <c r="A265" s="51"/>
      <c r="B265" s="7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7"/>
      <c r="P265" s="7"/>
      <c r="Q265" s="62"/>
      <c r="R265" s="62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9.8" x14ac:dyDescent="0.7">
      <c r="A266" s="51"/>
      <c r="B266" s="7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7"/>
      <c r="P266" s="7"/>
      <c r="Q266" s="62"/>
      <c r="R266" s="62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9.8" x14ac:dyDescent="0.7">
      <c r="A267" s="51"/>
      <c r="B267" s="7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7"/>
      <c r="P267" s="7"/>
      <c r="Q267" s="62"/>
      <c r="R267" s="62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9.8" x14ac:dyDescent="0.7">
      <c r="A268" s="51"/>
      <c r="B268" s="7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7"/>
      <c r="P268" s="7"/>
      <c r="Q268" s="62"/>
      <c r="R268" s="62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9.8" x14ac:dyDescent="0.7">
      <c r="A269" s="51"/>
      <c r="B269" s="7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7"/>
      <c r="P269" s="7"/>
      <c r="Q269" s="62"/>
      <c r="R269" s="62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9.8" x14ac:dyDescent="0.7">
      <c r="A270" s="51"/>
      <c r="B270" s="7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7"/>
      <c r="P270" s="7"/>
      <c r="Q270" s="62"/>
      <c r="R270" s="62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9.8" x14ac:dyDescent="0.7">
      <c r="A271" s="51"/>
      <c r="B271" s="7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7"/>
      <c r="P271" s="7"/>
      <c r="Q271" s="62"/>
      <c r="R271" s="62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9.8" x14ac:dyDescent="0.7">
      <c r="A272" s="51"/>
      <c r="B272" s="7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7"/>
      <c r="P272" s="7"/>
      <c r="Q272" s="62"/>
      <c r="R272" s="62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9.8" x14ac:dyDescent="0.7">
      <c r="A273" s="51"/>
      <c r="B273" s="7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7"/>
      <c r="P273" s="7"/>
      <c r="Q273" s="62"/>
      <c r="R273" s="62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9.8" x14ac:dyDescent="0.7">
      <c r="A274" s="51"/>
      <c r="B274" s="7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7"/>
      <c r="P274" s="7"/>
      <c r="Q274" s="62"/>
      <c r="R274" s="62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9.8" x14ac:dyDescent="0.7">
      <c r="A275" s="51"/>
      <c r="B275" s="7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7"/>
      <c r="P275" s="7"/>
      <c r="Q275" s="62"/>
      <c r="R275" s="62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9.8" x14ac:dyDescent="0.7">
      <c r="A276" s="51"/>
      <c r="B276" s="7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7"/>
      <c r="P276" s="7"/>
      <c r="Q276" s="62"/>
      <c r="R276" s="62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9.8" x14ac:dyDescent="0.7">
      <c r="A277" s="51"/>
      <c r="B277" s="7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7"/>
      <c r="P277" s="7"/>
      <c r="Q277" s="62"/>
      <c r="R277" s="62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9.8" x14ac:dyDescent="0.7">
      <c r="A278" s="51"/>
      <c r="B278" s="7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7"/>
      <c r="P278" s="7"/>
      <c r="Q278" s="62"/>
      <c r="R278" s="62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9.8" x14ac:dyDescent="0.7">
      <c r="A279" s="51"/>
      <c r="B279" s="7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7"/>
      <c r="P279" s="7"/>
      <c r="Q279" s="62"/>
      <c r="R279" s="62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9.8" x14ac:dyDescent="0.7">
      <c r="A280" s="51"/>
      <c r="B280" s="7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7"/>
      <c r="P280" s="7"/>
      <c r="Q280" s="62"/>
      <c r="R280" s="62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9.8" x14ac:dyDescent="0.7">
      <c r="A281" s="51"/>
      <c r="B281" s="7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7"/>
      <c r="P281" s="7"/>
      <c r="Q281" s="62"/>
      <c r="R281" s="62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9.8" x14ac:dyDescent="0.7">
      <c r="A282" s="51"/>
      <c r="B282" s="7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7"/>
      <c r="P282" s="7"/>
      <c r="Q282" s="62"/>
      <c r="R282" s="62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9.8" x14ac:dyDescent="0.7">
      <c r="A283" s="51"/>
      <c r="B283" s="7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7"/>
      <c r="P283" s="7"/>
      <c r="Q283" s="62"/>
      <c r="R283" s="62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9.8" x14ac:dyDescent="0.7">
      <c r="A284" s="51"/>
      <c r="B284" s="7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7"/>
      <c r="P284" s="7"/>
      <c r="Q284" s="62"/>
      <c r="R284" s="62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9.8" x14ac:dyDescent="0.7">
      <c r="A285" s="51"/>
      <c r="B285" s="7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7"/>
      <c r="P285" s="7"/>
      <c r="Q285" s="62"/>
      <c r="R285" s="62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9.8" x14ac:dyDescent="0.7">
      <c r="A286" s="51"/>
      <c r="B286" s="7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7"/>
      <c r="P286" s="7"/>
      <c r="Q286" s="62"/>
      <c r="R286" s="62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9.8" x14ac:dyDescent="0.7">
      <c r="A287" s="51"/>
      <c r="B287" s="7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7"/>
      <c r="P287" s="7"/>
      <c r="Q287" s="62"/>
      <c r="R287" s="62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9.8" x14ac:dyDescent="0.7">
      <c r="A288" s="51"/>
      <c r="B288" s="7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7"/>
      <c r="P288" s="7"/>
      <c r="Q288" s="62"/>
      <c r="R288" s="62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9.8" x14ac:dyDescent="0.7">
      <c r="A289" s="51"/>
      <c r="B289" s="7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7"/>
      <c r="P289" s="7"/>
      <c r="Q289" s="62"/>
      <c r="R289" s="62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9.8" x14ac:dyDescent="0.7">
      <c r="A290" s="51"/>
      <c r="B290" s="7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7"/>
      <c r="P290" s="7"/>
      <c r="Q290" s="62"/>
      <c r="R290" s="62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9.8" x14ac:dyDescent="0.7">
      <c r="A291" s="51"/>
      <c r="B291" s="7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7"/>
      <c r="P291" s="7"/>
      <c r="Q291" s="62"/>
      <c r="R291" s="62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9.8" x14ac:dyDescent="0.7">
      <c r="A292" s="51"/>
      <c r="B292" s="7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7"/>
      <c r="P292" s="7"/>
      <c r="Q292" s="62"/>
      <c r="R292" s="62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9.8" x14ac:dyDescent="0.7">
      <c r="A293" s="51"/>
      <c r="B293" s="7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7"/>
      <c r="P293" s="7"/>
      <c r="Q293" s="62"/>
      <c r="R293" s="62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9.8" x14ac:dyDescent="0.7">
      <c r="A294" s="51"/>
      <c r="B294" s="7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7"/>
      <c r="P294" s="7"/>
      <c r="Q294" s="62"/>
      <c r="R294" s="62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9.8" x14ac:dyDescent="0.7">
      <c r="A295" s="51"/>
      <c r="B295" s="7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7"/>
      <c r="P295" s="7"/>
      <c r="Q295" s="62"/>
      <c r="R295" s="62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9.8" x14ac:dyDescent="0.7">
      <c r="A296" s="51"/>
      <c r="B296" s="7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7"/>
      <c r="P296" s="7"/>
      <c r="Q296" s="62"/>
      <c r="R296" s="62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9.8" x14ac:dyDescent="0.7">
      <c r="A297" s="51"/>
      <c r="B297" s="7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7"/>
      <c r="P297" s="7"/>
      <c r="Q297" s="62"/>
      <c r="R297" s="62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9.8" x14ac:dyDescent="0.7">
      <c r="A298" s="51"/>
      <c r="B298" s="7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7"/>
      <c r="P298" s="7"/>
      <c r="Q298" s="62"/>
      <c r="R298" s="62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9.8" x14ac:dyDescent="0.7">
      <c r="A299" s="51"/>
      <c r="B299" s="7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7"/>
      <c r="P299" s="7"/>
      <c r="Q299" s="62"/>
      <c r="R299" s="62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9.8" x14ac:dyDescent="0.7">
      <c r="A300" s="51"/>
      <c r="B300" s="7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7"/>
      <c r="P300" s="7"/>
      <c r="Q300" s="62"/>
      <c r="R300" s="62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9.8" x14ac:dyDescent="0.7">
      <c r="A301" s="51"/>
      <c r="B301" s="7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7"/>
      <c r="P301" s="7"/>
      <c r="Q301" s="62"/>
      <c r="R301" s="62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9.8" x14ac:dyDescent="0.7">
      <c r="A302" s="51"/>
      <c r="B302" s="7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7"/>
      <c r="P302" s="7"/>
      <c r="Q302" s="62"/>
      <c r="R302" s="62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9.8" x14ac:dyDescent="0.7">
      <c r="A303" s="51"/>
      <c r="B303" s="7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7"/>
      <c r="P303" s="7"/>
      <c r="Q303" s="62"/>
      <c r="R303" s="62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9.8" x14ac:dyDescent="0.7">
      <c r="A304" s="51"/>
      <c r="B304" s="7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7"/>
      <c r="P304" s="7"/>
      <c r="Q304" s="62"/>
      <c r="R304" s="62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9.8" x14ac:dyDescent="0.7">
      <c r="A305" s="51"/>
      <c r="B305" s="7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7"/>
      <c r="P305" s="7"/>
      <c r="Q305" s="62"/>
      <c r="R305" s="62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9.8" x14ac:dyDescent="0.7">
      <c r="A306" s="51"/>
      <c r="B306" s="7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7"/>
      <c r="P306" s="7"/>
      <c r="Q306" s="62"/>
      <c r="R306" s="62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9.8" x14ac:dyDescent="0.7">
      <c r="A307" s="51"/>
      <c r="B307" s="7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7"/>
      <c r="P307" s="7"/>
      <c r="Q307" s="62"/>
      <c r="R307" s="62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9.8" x14ac:dyDescent="0.7">
      <c r="A308" s="51"/>
      <c r="B308" s="7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7"/>
      <c r="P308" s="7"/>
      <c r="Q308" s="62"/>
      <c r="R308" s="62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9.8" x14ac:dyDescent="0.7">
      <c r="A309" s="51"/>
      <c r="B309" s="7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7"/>
      <c r="P309" s="7"/>
      <c r="Q309" s="62"/>
      <c r="R309" s="62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9.8" x14ac:dyDescent="0.7">
      <c r="A310" s="51"/>
      <c r="B310" s="7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7"/>
      <c r="P310" s="7"/>
      <c r="Q310" s="62"/>
      <c r="R310" s="62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9.8" x14ac:dyDescent="0.7">
      <c r="A311" s="51"/>
      <c r="B311" s="7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7"/>
      <c r="P311" s="7"/>
      <c r="Q311" s="62"/>
      <c r="R311" s="62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9.8" x14ac:dyDescent="0.7">
      <c r="A312" s="51"/>
      <c r="B312" s="7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7"/>
      <c r="P312" s="7"/>
      <c r="Q312" s="62"/>
      <c r="R312" s="62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9.8" x14ac:dyDescent="0.7">
      <c r="A313" s="51"/>
      <c r="B313" s="7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7"/>
      <c r="P313" s="7"/>
      <c r="Q313" s="62"/>
      <c r="R313" s="62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9.8" x14ac:dyDescent="0.7">
      <c r="A314" s="51"/>
      <c r="B314" s="7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7"/>
      <c r="P314" s="7"/>
      <c r="Q314" s="62"/>
      <c r="R314" s="62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9.8" x14ac:dyDescent="0.7">
      <c r="A315" s="51"/>
      <c r="B315" s="7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7"/>
      <c r="P315" s="7"/>
      <c r="Q315" s="62"/>
      <c r="R315" s="62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9.8" x14ac:dyDescent="0.7">
      <c r="A316" s="51"/>
      <c r="B316" s="7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7"/>
      <c r="P316" s="7"/>
      <c r="Q316" s="62"/>
      <c r="R316" s="62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9.8" x14ac:dyDescent="0.7">
      <c r="A317" s="51"/>
      <c r="B317" s="7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7"/>
      <c r="P317" s="7"/>
      <c r="Q317" s="62"/>
      <c r="R317" s="62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9.8" x14ac:dyDescent="0.7">
      <c r="A318" s="51"/>
      <c r="B318" s="7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7"/>
      <c r="P318" s="7"/>
      <c r="Q318" s="62"/>
      <c r="R318" s="62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9.8" x14ac:dyDescent="0.7">
      <c r="A319" s="51"/>
      <c r="B319" s="7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7"/>
      <c r="P319" s="7"/>
      <c r="Q319" s="62"/>
      <c r="R319" s="62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9.8" x14ac:dyDescent="0.7">
      <c r="A320" s="51"/>
      <c r="B320" s="7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7"/>
      <c r="P320" s="7"/>
      <c r="Q320" s="62"/>
      <c r="R320" s="62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9.8" x14ac:dyDescent="0.7">
      <c r="A321" s="51"/>
      <c r="B321" s="7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7"/>
      <c r="P321" s="7"/>
      <c r="Q321" s="62"/>
      <c r="R321" s="62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9.8" x14ac:dyDescent="0.7">
      <c r="A322" s="51"/>
      <c r="B322" s="7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7"/>
      <c r="P322" s="7"/>
      <c r="Q322" s="62"/>
      <c r="R322" s="62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9.8" x14ac:dyDescent="0.7">
      <c r="A323" s="51"/>
      <c r="B323" s="7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7"/>
      <c r="P323" s="7"/>
      <c r="Q323" s="62"/>
      <c r="R323" s="62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9.8" x14ac:dyDescent="0.7">
      <c r="A324" s="51"/>
      <c r="B324" s="7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7"/>
      <c r="P324" s="7"/>
      <c r="Q324" s="62"/>
      <c r="R324" s="62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9.8" x14ac:dyDescent="0.7">
      <c r="A325" s="51"/>
      <c r="B325" s="7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7"/>
      <c r="P325" s="7"/>
      <c r="Q325" s="62"/>
      <c r="R325" s="62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9.8" x14ac:dyDescent="0.7">
      <c r="A326" s="51"/>
      <c r="B326" s="7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7"/>
      <c r="P326" s="7"/>
      <c r="Q326" s="62"/>
      <c r="R326" s="62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9.8" x14ac:dyDescent="0.7">
      <c r="A327" s="51"/>
      <c r="B327" s="7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7"/>
      <c r="P327" s="7"/>
      <c r="Q327" s="62"/>
      <c r="R327" s="62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9.8" x14ac:dyDescent="0.7">
      <c r="A328" s="51"/>
      <c r="B328" s="7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7"/>
      <c r="P328" s="7"/>
      <c r="Q328" s="62"/>
      <c r="R328" s="62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9.8" x14ac:dyDescent="0.7">
      <c r="A329" s="51"/>
      <c r="B329" s="7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7"/>
      <c r="P329" s="7"/>
      <c r="Q329" s="62"/>
      <c r="R329" s="62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9.8" x14ac:dyDescent="0.7">
      <c r="A330" s="51"/>
      <c r="B330" s="7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7"/>
      <c r="P330" s="7"/>
      <c r="Q330" s="62"/>
      <c r="R330" s="62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9.8" x14ac:dyDescent="0.7">
      <c r="A331" s="51"/>
      <c r="B331" s="7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7"/>
      <c r="P331" s="7"/>
      <c r="Q331" s="62"/>
      <c r="R331" s="62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9.8" x14ac:dyDescent="0.7">
      <c r="A332" s="51"/>
      <c r="B332" s="7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7"/>
      <c r="P332" s="7"/>
      <c r="Q332" s="62"/>
      <c r="R332" s="62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9.8" x14ac:dyDescent="0.7">
      <c r="A333" s="51"/>
      <c r="B333" s="7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7"/>
      <c r="P333" s="7"/>
      <c r="Q333" s="62"/>
      <c r="R333" s="62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9.8" x14ac:dyDescent="0.7">
      <c r="A334" s="51"/>
      <c r="B334" s="7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7"/>
      <c r="P334" s="7"/>
      <c r="Q334" s="62"/>
      <c r="R334" s="62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9.8" x14ac:dyDescent="0.7">
      <c r="A335" s="51"/>
      <c r="B335" s="7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7"/>
      <c r="P335" s="7"/>
      <c r="Q335" s="62"/>
      <c r="R335" s="62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9.8" x14ac:dyDescent="0.7">
      <c r="A336" s="51"/>
      <c r="B336" s="7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7"/>
      <c r="P336" s="7"/>
      <c r="Q336" s="62"/>
      <c r="R336" s="62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9.8" x14ac:dyDescent="0.7">
      <c r="A337" s="51"/>
      <c r="B337" s="7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7"/>
      <c r="P337" s="7"/>
      <c r="Q337" s="62"/>
      <c r="R337" s="62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9.8" x14ac:dyDescent="0.7">
      <c r="A338" s="51"/>
      <c r="B338" s="7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7"/>
      <c r="P338" s="7"/>
      <c r="Q338" s="62"/>
      <c r="R338" s="62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9.8" x14ac:dyDescent="0.7">
      <c r="A339" s="51"/>
      <c r="B339" s="7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7"/>
      <c r="P339" s="7"/>
      <c r="Q339" s="62"/>
      <c r="R339" s="62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9.8" x14ac:dyDescent="0.7">
      <c r="A340" s="51"/>
      <c r="B340" s="7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7"/>
      <c r="P340" s="7"/>
      <c r="Q340" s="62"/>
      <c r="R340" s="62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9.8" x14ac:dyDescent="0.7">
      <c r="A341" s="51"/>
      <c r="B341" s="7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7"/>
      <c r="P341" s="7"/>
      <c r="Q341" s="62"/>
      <c r="R341" s="62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9.8" x14ac:dyDescent="0.7">
      <c r="A342" s="51"/>
      <c r="B342" s="7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7"/>
      <c r="P342" s="7"/>
      <c r="Q342" s="62"/>
      <c r="R342" s="62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9.8" x14ac:dyDescent="0.7">
      <c r="A343" s="51"/>
      <c r="B343" s="7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7"/>
      <c r="P343" s="7"/>
      <c r="Q343" s="62"/>
      <c r="R343" s="62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9.8" x14ac:dyDescent="0.7">
      <c r="A344" s="51"/>
      <c r="B344" s="7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7"/>
      <c r="P344" s="7"/>
      <c r="Q344" s="62"/>
      <c r="R344" s="62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9.8" x14ac:dyDescent="0.7">
      <c r="A345" s="51"/>
      <c r="B345" s="7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7"/>
      <c r="P345" s="7"/>
      <c r="Q345" s="62"/>
      <c r="R345" s="62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9.8" x14ac:dyDescent="0.7">
      <c r="A346" s="51"/>
      <c r="B346" s="7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7"/>
      <c r="P346" s="7"/>
      <c r="Q346" s="62"/>
      <c r="R346" s="62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9.8" x14ac:dyDescent="0.7">
      <c r="A347" s="51"/>
      <c r="B347" s="7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7"/>
      <c r="P347" s="7"/>
      <c r="Q347" s="62"/>
      <c r="R347" s="62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9.8" x14ac:dyDescent="0.7">
      <c r="A348" s="51"/>
      <c r="B348" s="7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7"/>
      <c r="P348" s="7"/>
      <c r="Q348" s="62"/>
      <c r="R348" s="62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9.8" x14ac:dyDescent="0.7">
      <c r="A349" s="51"/>
      <c r="B349" s="7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7"/>
      <c r="P349" s="7"/>
      <c r="Q349" s="62"/>
      <c r="R349" s="62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9.8" x14ac:dyDescent="0.7">
      <c r="A350" s="51"/>
      <c r="B350" s="7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7"/>
      <c r="P350" s="7"/>
      <c r="Q350" s="62"/>
      <c r="R350" s="62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9.8" x14ac:dyDescent="0.7">
      <c r="A351" s="51"/>
      <c r="B351" s="7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7"/>
      <c r="P351" s="7"/>
      <c r="Q351" s="62"/>
      <c r="R351" s="62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9.8" x14ac:dyDescent="0.7">
      <c r="A352" s="51"/>
      <c r="B352" s="7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7"/>
      <c r="P352" s="7"/>
      <c r="Q352" s="62"/>
      <c r="R352" s="62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9.8" x14ac:dyDescent="0.7">
      <c r="A353" s="51"/>
      <c r="B353" s="7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7"/>
      <c r="P353" s="7"/>
      <c r="Q353" s="62"/>
      <c r="R353" s="62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9.8" x14ac:dyDescent="0.7">
      <c r="A354" s="51"/>
      <c r="B354" s="7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7"/>
      <c r="P354" s="7"/>
      <c r="Q354" s="62"/>
      <c r="R354" s="62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9.8" x14ac:dyDescent="0.7">
      <c r="A355" s="51"/>
      <c r="B355" s="7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7"/>
      <c r="P355" s="7"/>
      <c r="Q355" s="62"/>
      <c r="R355" s="62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9.8" x14ac:dyDescent="0.7">
      <c r="A356" s="51"/>
      <c r="B356" s="7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7"/>
      <c r="P356" s="7"/>
      <c r="Q356" s="62"/>
      <c r="R356" s="62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9.8" x14ac:dyDescent="0.7">
      <c r="A357" s="51"/>
      <c r="B357" s="7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7"/>
      <c r="P357" s="7"/>
      <c r="Q357" s="62"/>
      <c r="R357" s="62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9.8" x14ac:dyDescent="0.7">
      <c r="A358" s="51"/>
      <c r="B358" s="7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7"/>
      <c r="P358" s="7"/>
      <c r="Q358" s="62"/>
      <c r="R358" s="62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9.8" x14ac:dyDescent="0.7">
      <c r="A359" s="51"/>
      <c r="B359" s="7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7"/>
      <c r="P359" s="7"/>
      <c r="Q359" s="62"/>
      <c r="R359" s="62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9.8" x14ac:dyDescent="0.7">
      <c r="A360" s="51"/>
      <c r="B360" s="7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7"/>
      <c r="P360" s="7"/>
      <c r="Q360" s="62"/>
      <c r="R360" s="62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9.8" x14ac:dyDescent="0.7">
      <c r="A361" s="51"/>
      <c r="B361" s="7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7"/>
      <c r="P361" s="7"/>
      <c r="Q361" s="62"/>
      <c r="R361" s="62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9.8" x14ac:dyDescent="0.7">
      <c r="A362" s="51"/>
      <c r="B362" s="7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7"/>
      <c r="P362" s="7"/>
      <c r="Q362" s="62"/>
      <c r="R362" s="62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9.8" x14ac:dyDescent="0.7">
      <c r="A363" s="51"/>
      <c r="B363" s="7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7"/>
      <c r="P363" s="7"/>
      <c r="Q363" s="62"/>
      <c r="R363" s="62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9.8" x14ac:dyDescent="0.7">
      <c r="A364" s="51"/>
      <c r="B364" s="7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7"/>
      <c r="P364" s="7"/>
      <c r="Q364" s="62"/>
      <c r="R364" s="62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9.8" x14ac:dyDescent="0.7">
      <c r="A365" s="51"/>
      <c r="B365" s="7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7"/>
      <c r="P365" s="7"/>
      <c r="Q365" s="62"/>
      <c r="R365" s="62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9.8" x14ac:dyDescent="0.7">
      <c r="A366" s="51"/>
      <c r="B366" s="7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7"/>
      <c r="P366" s="7"/>
      <c r="Q366" s="62"/>
      <c r="R366" s="62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9.8" x14ac:dyDescent="0.7">
      <c r="A367" s="51"/>
      <c r="B367" s="7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7"/>
      <c r="P367" s="7"/>
      <c r="Q367" s="62"/>
      <c r="R367" s="62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9.8" x14ac:dyDescent="0.7">
      <c r="A368" s="51"/>
      <c r="B368" s="7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7"/>
      <c r="P368" s="7"/>
      <c r="Q368" s="62"/>
      <c r="R368" s="62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9.8" x14ac:dyDescent="0.7">
      <c r="A369" s="51"/>
      <c r="B369" s="7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7"/>
      <c r="P369" s="7"/>
      <c r="Q369" s="62"/>
      <c r="R369" s="62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9.8" x14ac:dyDescent="0.7">
      <c r="A370" s="51"/>
      <c r="B370" s="7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7"/>
      <c r="P370" s="7"/>
      <c r="Q370" s="62"/>
      <c r="R370" s="62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9.8" x14ac:dyDescent="0.7">
      <c r="A371" s="51"/>
      <c r="B371" s="7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7"/>
      <c r="P371" s="7"/>
      <c r="Q371" s="62"/>
      <c r="R371" s="62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9.8" x14ac:dyDescent="0.7">
      <c r="A372" s="51"/>
      <c r="B372" s="7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7"/>
      <c r="P372" s="7"/>
      <c r="Q372" s="62"/>
      <c r="R372" s="62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9.8" x14ac:dyDescent="0.7">
      <c r="A373" s="51"/>
      <c r="B373" s="7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7"/>
      <c r="P373" s="7"/>
      <c r="Q373" s="62"/>
      <c r="R373" s="62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9.8" x14ac:dyDescent="0.7">
      <c r="A374" s="51"/>
      <c r="B374" s="7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7"/>
      <c r="P374" s="7"/>
      <c r="Q374" s="62"/>
      <c r="R374" s="62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9.8" x14ac:dyDescent="0.7">
      <c r="A375" s="51"/>
      <c r="B375" s="7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7"/>
      <c r="P375" s="7"/>
      <c r="Q375" s="62"/>
      <c r="R375" s="62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9.8" x14ac:dyDescent="0.7">
      <c r="A376" s="51"/>
      <c r="B376" s="7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7"/>
      <c r="P376" s="7"/>
      <c r="Q376" s="62"/>
      <c r="R376" s="62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9.8" x14ac:dyDescent="0.7">
      <c r="A377" s="51"/>
      <c r="B377" s="7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7"/>
      <c r="P377" s="7"/>
      <c r="Q377" s="62"/>
      <c r="R377" s="62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9.8" x14ac:dyDescent="0.7">
      <c r="A378" s="51"/>
      <c r="B378" s="7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7"/>
      <c r="P378" s="7"/>
      <c r="Q378" s="62"/>
      <c r="R378" s="62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9.8" x14ac:dyDescent="0.7">
      <c r="A379" s="51"/>
      <c r="B379" s="7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7"/>
      <c r="P379" s="7"/>
      <c r="Q379" s="62"/>
      <c r="R379" s="62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9.8" x14ac:dyDescent="0.7">
      <c r="A380" s="51"/>
      <c r="B380" s="7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7"/>
      <c r="P380" s="7"/>
      <c r="Q380" s="62"/>
      <c r="R380" s="62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9.8" x14ac:dyDescent="0.7">
      <c r="A381" s="51"/>
      <c r="B381" s="7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7"/>
      <c r="P381" s="7"/>
      <c r="Q381" s="62"/>
      <c r="R381" s="62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9.8" x14ac:dyDescent="0.7">
      <c r="A382" s="51"/>
      <c r="B382" s="7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7"/>
      <c r="P382" s="7"/>
      <c r="Q382" s="62"/>
      <c r="R382" s="62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9.8" x14ac:dyDescent="0.7">
      <c r="A383" s="51"/>
      <c r="B383" s="7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7"/>
      <c r="P383" s="7"/>
      <c r="Q383" s="62"/>
      <c r="R383" s="62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9.8" x14ac:dyDescent="0.7">
      <c r="A384" s="51"/>
      <c r="B384" s="7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7"/>
      <c r="P384" s="7"/>
      <c r="Q384" s="62"/>
      <c r="R384" s="62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9.8" x14ac:dyDescent="0.7">
      <c r="A385" s="51"/>
      <c r="B385" s="7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7"/>
      <c r="P385" s="7"/>
      <c r="Q385" s="62"/>
      <c r="R385" s="62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9.8" x14ac:dyDescent="0.7">
      <c r="A386" s="51"/>
      <c r="B386" s="7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7"/>
      <c r="P386" s="7"/>
      <c r="Q386" s="62"/>
      <c r="R386" s="62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9.8" x14ac:dyDescent="0.7">
      <c r="A387" s="51"/>
      <c r="B387" s="7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7"/>
      <c r="P387" s="7"/>
      <c r="Q387" s="62"/>
      <c r="R387" s="62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9.8" x14ac:dyDescent="0.7">
      <c r="A388" s="51"/>
      <c r="B388" s="7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7"/>
      <c r="P388" s="7"/>
      <c r="Q388" s="62"/>
      <c r="R388" s="62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9.8" x14ac:dyDescent="0.7">
      <c r="A389" s="51"/>
      <c r="B389" s="7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7"/>
      <c r="P389" s="7"/>
      <c r="Q389" s="62"/>
      <c r="R389" s="62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9.8" x14ac:dyDescent="0.7">
      <c r="A390" s="51"/>
      <c r="B390" s="7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7"/>
      <c r="P390" s="7"/>
      <c r="Q390" s="62"/>
      <c r="R390" s="62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9.8" x14ac:dyDescent="0.7">
      <c r="A391" s="51"/>
      <c r="B391" s="7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7"/>
      <c r="P391" s="7"/>
      <c r="Q391" s="62"/>
      <c r="R391" s="62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9.8" x14ac:dyDescent="0.7">
      <c r="A392" s="51"/>
      <c r="B392" s="7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7"/>
      <c r="P392" s="7"/>
      <c r="Q392" s="62"/>
      <c r="R392" s="62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9.8" x14ac:dyDescent="0.7">
      <c r="A393" s="51"/>
      <c r="B393" s="7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7"/>
      <c r="P393" s="7"/>
      <c r="Q393" s="62"/>
      <c r="R393" s="62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9.8" x14ac:dyDescent="0.7">
      <c r="A394" s="51"/>
      <c r="B394" s="7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7"/>
      <c r="P394" s="7"/>
      <c r="Q394" s="62"/>
      <c r="R394" s="62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9.8" x14ac:dyDescent="0.7">
      <c r="A395" s="51"/>
      <c r="B395" s="7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7"/>
      <c r="P395" s="7"/>
      <c r="Q395" s="62"/>
      <c r="R395" s="62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9.8" x14ac:dyDescent="0.7">
      <c r="A396" s="51"/>
      <c r="B396" s="7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7"/>
      <c r="P396" s="7"/>
      <c r="Q396" s="62"/>
      <c r="R396" s="62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9.8" x14ac:dyDescent="0.7">
      <c r="A397" s="51"/>
      <c r="B397" s="7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7"/>
      <c r="P397" s="7"/>
      <c r="Q397" s="62"/>
      <c r="R397" s="62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9.8" x14ac:dyDescent="0.7">
      <c r="A398" s="51"/>
      <c r="B398" s="7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7"/>
      <c r="P398" s="7"/>
      <c r="Q398" s="62"/>
      <c r="R398" s="62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9.8" x14ac:dyDescent="0.7">
      <c r="A399" s="51"/>
      <c r="B399" s="7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7"/>
      <c r="P399" s="7"/>
      <c r="Q399" s="62"/>
      <c r="R399" s="62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9.8" x14ac:dyDescent="0.7">
      <c r="A400" s="51"/>
      <c r="B400" s="7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7"/>
      <c r="P400" s="7"/>
      <c r="Q400" s="62"/>
      <c r="R400" s="62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9.8" x14ac:dyDescent="0.7">
      <c r="A401" s="51"/>
      <c r="B401" s="7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7"/>
      <c r="P401" s="7"/>
      <c r="Q401" s="62"/>
      <c r="R401" s="62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9.8" x14ac:dyDescent="0.7">
      <c r="A402" s="51"/>
      <c r="B402" s="7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7"/>
      <c r="P402" s="7"/>
      <c r="Q402" s="62"/>
      <c r="R402" s="62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9.8" x14ac:dyDescent="0.7">
      <c r="A403" s="51"/>
      <c r="B403" s="7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7"/>
      <c r="P403" s="7"/>
      <c r="Q403" s="62"/>
      <c r="R403" s="62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9.8" x14ac:dyDescent="0.7">
      <c r="A404" s="51"/>
      <c r="B404" s="7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7"/>
      <c r="P404" s="7"/>
      <c r="Q404" s="62"/>
      <c r="R404" s="62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9.8" x14ac:dyDescent="0.7">
      <c r="A405" s="51"/>
      <c r="B405" s="7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7"/>
      <c r="P405" s="7"/>
      <c r="Q405" s="62"/>
      <c r="R405" s="62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9.8" x14ac:dyDescent="0.7">
      <c r="A406" s="51"/>
      <c r="B406" s="7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7"/>
      <c r="P406" s="7"/>
      <c r="Q406" s="62"/>
      <c r="R406" s="62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9.8" x14ac:dyDescent="0.7">
      <c r="A407" s="51"/>
      <c r="B407" s="7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7"/>
      <c r="P407" s="7"/>
      <c r="Q407" s="62"/>
      <c r="R407" s="62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9.8" x14ac:dyDescent="0.7">
      <c r="A408" s="51"/>
      <c r="B408" s="7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7"/>
      <c r="P408" s="7"/>
      <c r="Q408" s="62"/>
      <c r="R408" s="62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9.8" x14ac:dyDescent="0.7">
      <c r="A409" s="51"/>
      <c r="B409" s="7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7"/>
      <c r="P409" s="7"/>
      <c r="Q409" s="62"/>
      <c r="R409" s="62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9.8" x14ac:dyDescent="0.7">
      <c r="A410" s="51"/>
      <c r="B410" s="7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7"/>
      <c r="P410" s="7"/>
      <c r="Q410" s="62"/>
      <c r="R410" s="62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9.8" x14ac:dyDescent="0.7">
      <c r="A411" s="51"/>
      <c r="B411" s="7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7"/>
      <c r="P411" s="7"/>
      <c r="Q411" s="62"/>
      <c r="R411" s="62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9.8" x14ac:dyDescent="0.7">
      <c r="A412" s="51"/>
      <c r="B412" s="7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7"/>
      <c r="P412" s="7"/>
      <c r="Q412" s="62"/>
      <c r="R412" s="62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9.8" x14ac:dyDescent="0.7">
      <c r="A413" s="51"/>
      <c r="B413" s="7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7"/>
      <c r="P413" s="7"/>
      <c r="Q413" s="62"/>
      <c r="R413" s="62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9.8" x14ac:dyDescent="0.7">
      <c r="A414" s="51"/>
      <c r="B414" s="7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7"/>
      <c r="P414" s="7"/>
      <c r="Q414" s="62"/>
      <c r="R414" s="62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9.8" x14ac:dyDescent="0.7">
      <c r="A415" s="51"/>
      <c r="B415" s="7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7"/>
      <c r="P415" s="7"/>
      <c r="Q415" s="62"/>
      <c r="R415" s="62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9.8" x14ac:dyDescent="0.7">
      <c r="A416" s="51"/>
      <c r="B416" s="7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7"/>
      <c r="P416" s="7"/>
      <c r="Q416" s="62"/>
      <c r="R416" s="62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9.8" x14ac:dyDescent="0.7">
      <c r="A417" s="51"/>
      <c r="B417" s="7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7"/>
      <c r="P417" s="7"/>
      <c r="Q417" s="62"/>
      <c r="R417" s="62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9.8" x14ac:dyDescent="0.7">
      <c r="A418" s="51"/>
      <c r="B418" s="7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7"/>
      <c r="P418" s="7"/>
      <c r="Q418" s="62"/>
      <c r="R418" s="62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9.8" x14ac:dyDescent="0.7">
      <c r="A419" s="51"/>
      <c r="B419" s="7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7"/>
      <c r="P419" s="7"/>
      <c r="Q419" s="62"/>
      <c r="R419" s="62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9.8" x14ac:dyDescent="0.7">
      <c r="A420" s="51"/>
      <c r="B420" s="7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7"/>
      <c r="P420" s="7"/>
      <c r="Q420" s="62"/>
      <c r="R420" s="62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9.8" x14ac:dyDescent="0.7">
      <c r="A421" s="51"/>
      <c r="B421" s="7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7"/>
      <c r="P421" s="7"/>
      <c r="Q421" s="62"/>
      <c r="R421" s="62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9.8" x14ac:dyDescent="0.7">
      <c r="A422" s="51"/>
      <c r="B422" s="7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7"/>
      <c r="P422" s="7"/>
      <c r="Q422" s="62"/>
      <c r="R422" s="62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9.8" x14ac:dyDescent="0.7">
      <c r="A423" s="51"/>
      <c r="B423" s="7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7"/>
      <c r="P423" s="7"/>
      <c r="Q423" s="62"/>
      <c r="R423" s="62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9.8" x14ac:dyDescent="0.7">
      <c r="A424" s="51"/>
      <c r="B424" s="7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7"/>
      <c r="P424" s="7"/>
      <c r="Q424" s="62"/>
      <c r="R424" s="62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9.8" x14ac:dyDescent="0.7">
      <c r="A425" s="51"/>
      <c r="B425" s="7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7"/>
      <c r="P425" s="7"/>
      <c r="Q425" s="62"/>
      <c r="R425" s="62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9.8" x14ac:dyDescent="0.7">
      <c r="A426" s="51"/>
      <c r="B426" s="7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7"/>
      <c r="P426" s="7"/>
      <c r="Q426" s="62"/>
      <c r="R426" s="62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9.8" x14ac:dyDescent="0.7">
      <c r="A427" s="51"/>
      <c r="B427" s="7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7"/>
      <c r="P427" s="7"/>
      <c r="Q427" s="62"/>
      <c r="R427" s="62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9.8" x14ac:dyDescent="0.7">
      <c r="A428" s="51"/>
      <c r="B428" s="7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7"/>
      <c r="P428" s="7"/>
      <c r="Q428" s="62"/>
      <c r="R428" s="62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9.8" x14ac:dyDescent="0.7">
      <c r="A429" s="51"/>
      <c r="B429" s="7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7"/>
      <c r="P429" s="7"/>
      <c r="Q429" s="62"/>
      <c r="R429" s="62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9.8" x14ac:dyDescent="0.7">
      <c r="A430" s="51"/>
      <c r="B430" s="7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7"/>
      <c r="P430" s="7"/>
      <c r="Q430" s="62"/>
      <c r="R430" s="62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9.8" x14ac:dyDescent="0.7">
      <c r="A431" s="51"/>
      <c r="B431" s="7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7"/>
      <c r="P431" s="7"/>
      <c r="Q431" s="62"/>
      <c r="R431" s="62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9.8" x14ac:dyDescent="0.7">
      <c r="A432" s="51"/>
      <c r="B432" s="7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7"/>
      <c r="P432" s="7"/>
      <c r="Q432" s="62"/>
      <c r="R432" s="62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9.8" x14ac:dyDescent="0.7">
      <c r="A433" s="51"/>
      <c r="B433" s="7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7"/>
      <c r="P433" s="7"/>
      <c r="Q433" s="62"/>
      <c r="R433" s="62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9.8" x14ac:dyDescent="0.7">
      <c r="A434" s="51"/>
      <c r="B434" s="7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7"/>
      <c r="P434" s="7"/>
      <c r="Q434" s="62"/>
      <c r="R434" s="62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9.8" x14ac:dyDescent="0.7">
      <c r="A435" s="51"/>
      <c r="B435" s="7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7"/>
      <c r="P435" s="7"/>
      <c r="Q435" s="62"/>
      <c r="R435" s="62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9.8" x14ac:dyDescent="0.7">
      <c r="A436" s="51"/>
      <c r="B436" s="7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7"/>
      <c r="P436" s="7"/>
      <c r="Q436" s="62"/>
      <c r="R436" s="62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9.8" x14ac:dyDescent="0.7">
      <c r="A437" s="51"/>
      <c r="B437" s="7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7"/>
      <c r="P437" s="7"/>
      <c r="Q437" s="62"/>
      <c r="R437" s="62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9.8" x14ac:dyDescent="0.7">
      <c r="A438" s="51"/>
      <c r="B438" s="7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7"/>
      <c r="P438" s="7"/>
      <c r="Q438" s="62"/>
      <c r="R438" s="62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9.8" x14ac:dyDescent="0.7">
      <c r="A439" s="51"/>
      <c r="B439" s="7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7"/>
      <c r="P439" s="7"/>
      <c r="Q439" s="62"/>
      <c r="R439" s="62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9.8" x14ac:dyDescent="0.7">
      <c r="A440" s="51"/>
      <c r="B440" s="7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7"/>
      <c r="P440" s="7"/>
      <c r="Q440" s="62"/>
      <c r="R440" s="62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9.8" x14ac:dyDescent="0.7">
      <c r="A441" s="51"/>
      <c r="B441" s="7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7"/>
      <c r="P441" s="7"/>
      <c r="Q441" s="62"/>
      <c r="R441" s="62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9.8" x14ac:dyDescent="0.7">
      <c r="A442" s="51"/>
      <c r="B442" s="7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7"/>
      <c r="P442" s="7"/>
      <c r="Q442" s="62"/>
      <c r="R442" s="62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9.8" x14ac:dyDescent="0.7">
      <c r="A443" s="51"/>
      <c r="B443" s="7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7"/>
      <c r="P443" s="7"/>
      <c r="Q443" s="62"/>
      <c r="R443" s="62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9.8" x14ac:dyDescent="0.7">
      <c r="A444" s="51"/>
      <c r="B444" s="7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7"/>
      <c r="P444" s="7"/>
      <c r="Q444" s="62"/>
      <c r="R444" s="62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9.8" x14ac:dyDescent="0.7">
      <c r="A445" s="51"/>
      <c r="B445" s="7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7"/>
      <c r="P445" s="7"/>
      <c r="Q445" s="62"/>
      <c r="R445" s="62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9.8" x14ac:dyDescent="0.7">
      <c r="A446" s="51"/>
      <c r="B446" s="7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7"/>
      <c r="P446" s="7"/>
      <c r="Q446" s="62"/>
      <c r="R446" s="62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9.8" x14ac:dyDescent="0.7">
      <c r="A447" s="51"/>
      <c r="B447" s="7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7"/>
      <c r="P447" s="7"/>
      <c r="Q447" s="62"/>
      <c r="R447" s="62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9.8" x14ac:dyDescent="0.7">
      <c r="A448" s="51"/>
      <c r="B448" s="7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7"/>
      <c r="P448" s="7"/>
      <c r="Q448" s="62"/>
      <c r="R448" s="62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9.8" x14ac:dyDescent="0.7">
      <c r="A449" s="51"/>
      <c r="B449" s="7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7"/>
      <c r="P449" s="7"/>
      <c r="Q449" s="62"/>
      <c r="R449" s="62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9.8" x14ac:dyDescent="0.7">
      <c r="A450" s="51"/>
      <c r="B450" s="7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7"/>
      <c r="P450" s="7"/>
      <c r="Q450" s="62"/>
      <c r="R450" s="62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9.8" x14ac:dyDescent="0.7">
      <c r="A451" s="51"/>
      <c r="B451" s="7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7"/>
      <c r="P451" s="7"/>
      <c r="Q451" s="62"/>
      <c r="R451" s="62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9.8" x14ac:dyDescent="0.7">
      <c r="A452" s="51"/>
      <c r="B452" s="7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7"/>
      <c r="P452" s="7"/>
      <c r="Q452" s="62"/>
      <c r="R452" s="62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9.8" x14ac:dyDescent="0.7">
      <c r="A453" s="51"/>
      <c r="B453" s="7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7"/>
      <c r="P453" s="7"/>
      <c r="Q453" s="62"/>
      <c r="R453" s="62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9.8" x14ac:dyDescent="0.7">
      <c r="A454" s="51"/>
      <c r="B454" s="7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7"/>
      <c r="P454" s="7"/>
      <c r="Q454" s="62"/>
      <c r="R454" s="62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9.8" x14ac:dyDescent="0.7">
      <c r="A455" s="51"/>
      <c r="B455" s="7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7"/>
      <c r="P455" s="7"/>
      <c r="Q455" s="62"/>
      <c r="R455" s="62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9.8" x14ac:dyDescent="0.7">
      <c r="A456" s="51"/>
      <c r="B456" s="7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7"/>
      <c r="P456" s="7"/>
      <c r="Q456" s="62"/>
      <c r="R456" s="62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9.8" x14ac:dyDescent="0.7">
      <c r="A457" s="51"/>
      <c r="B457" s="7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7"/>
      <c r="P457" s="7"/>
      <c r="Q457" s="62"/>
      <c r="R457" s="62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9.8" x14ac:dyDescent="0.7">
      <c r="A458" s="51"/>
      <c r="B458" s="7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7"/>
      <c r="P458" s="7"/>
      <c r="Q458" s="62"/>
      <c r="R458" s="62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9.8" x14ac:dyDescent="0.7">
      <c r="A459" s="51"/>
      <c r="B459" s="7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7"/>
      <c r="P459" s="7"/>
      <c r="Q459" s="62"/>
      <c r="R459" s="62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9.8" x14ac:dyDescent="0.7">
      <c r="A460" s="51"/>
      <c r="B460" s="7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7"/>
      <c r="P460" s="7"/>
      <c r="Q460" s="62"/>
      <c r="R460" s="62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9.8" x14ac:dyDescent="0.7">
      <c r="A461" s="51"/>
      <c r="B461" s="7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7"/>
      <c r="P461" s="7"/>
      <c r="Q461" s="62"/>
      <c r="R461" s="62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9.8" x14ac:dyDescent="0.7">
      <c r="A462" s="51"/>
      <c r="B462" s="7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7"/>
      <c r="P462" s="7"/>
      <c r="Q462" s="62"/>
      <c r="R462" s="62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9.8" x14ac:dyDescent="0.7">
      <c r="A463" s="51"/>
      <c r="B463" s="7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7"/>
      <c r="P463" s="7"/>
      <c r="Q463" s="62"/>
      <c r="R463" s="62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9.8" x14ac:dyDescent="0.7">
      <c r="A464" s="51"/>
      <c r="B464" s="7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7"/>
      <c r="P464" s="7"/>
      <c r="Q464" s="62"/>
      <c r="R464" s="62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9.8" x14ac:dyDescent="0.7">
      <c r="A465" s="51"/>
      <c r="B465" s="7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7"/>
      <c r="P465" s="7"/>
      <c r="Q465" s="62"/>
      <c r="R465" s="62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9.8" x14ac:dyDescent="0.7">
      <c r="A466" s="51"/>
      <c r="B466" s="7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7"/>
      <c r="P466" s="7"/>
      <c r="Q466" s="62"/>
      <c r="R466" s="62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9.8" x14ac:dyDescent="0.7">
      <c r="A467" s="51"/>
      <c r="B467" s="7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7"/>
      <c r="P467" s="7"/>
      <c r="Q467" s="62"/>
      <c r="R467" s="62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9.8" x14ac:dyDescent="0.7">
      <c r="A468" s="51"/>
      <c r="B468" s="7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7"/>
      <c r="P468" s="7"/>
      <c r="Q468" s="62"/>
      <c r="R468" s="62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9.8" x14ac:dyDescent="0.7">
      <c r="A469" s="51"/>
      <c r="B469" s="7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7"/>
      <c r="P469" s="7"/>
      <c r="Q469" s="62"/>
      <c r="R469" s="62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9.8" x14ac:dyDescent="0.7">
      <c r="A470" s="51"/>
      <c r="B470" s="7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7"/>
      <c r="P470" s="7"/>
      <c r="Q470" s="62"/>
      <c r="R470" s="62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9.8" x14ac:dyDescent="0.7">
      <c r="A471" s="51"/>
      <c r="B471" s="7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7"/>
      <c r="P471" s="7"/>
      <c r="Q471" s="62"/>
      <c r="R471" s="62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9.8" x14ac:dyDescent="0.7">
      <c r="A472" s="51"/>
      <c r="B472" s="7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7"/>
      <c r="P472" s="7"/>
      <c r="Q472" s="62"/>
      <c r="R472" s="62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9.8" x14ac:dyDescent="0.7">
      <c r="A473" s="51"/>
      <c r="B473" s="7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7"/>
      <c r="P473" s="7"/>
      <c r="Q473" s="62"/>
      <c r="R473" s="62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ht="19.8" x14ac:dyDescent="0.7">
      <c r="A474" s="51"/>
      <c r="B474" s="7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7"/>
      <c r="P474" s="7"/>
      <c r="Q474" s="62"/>
      <c r="R474" s="62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ht="19.8" x14ac:dyDescent="0.7">
      <c r="A475" s="51"/>
      <c r="B475" s="7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7"/>
      <c r="P475" s="7"/>
      <c r="Q475" s="62"/>
      <c r="R475" s="62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ht="19.8" x14ac:dyDescent="0.7">
      <c r="A476" s="51"/>
      <c r="B476" s="7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7"/>
      <c r="P476" s="7"/>
      <c r="Q476" s="62"/>
      <c r="R476" s="62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ht="19.8" x14ac:dyDescent="0.7">
      <c r="A477" s="51"/>
      <c r="B477" s="7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7"/>
      <c r="P477" s="7"/>
      <c r="Q477" s="62"/>
      <c r="R477" s="62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ht="19.8" x14ac:dyDescent="0.7">
      <c r="A478" s="51"/>
      <c r="B478" s="7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7"/>
      <c r="P478" s="7"/>
      <c r="Q478" s="62"/>
      <c r="R478" s="62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ht="19.8" x14ac:dyDescent="0.7">
      <c r="A479" s="51"/>
      <c r="B479" s="7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7"/>
      <c r="P479" s="7"/>
      <c r="Q479" s="62"/>
      <c r="R479" s="62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ht="19.8" x14ac:dyDescent="0.7">
      <c r="A480" s="51"/>
      <c r="B480" s="7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7"/>
      <c r="P480" s="7"/>
      <c r="Q480" s="62"/>
      <c r="R480" s="62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ht="19.8" x14ac:dyDescent="0.7">
      <c r="A481" s="51"/>
      <c r="B481" s="7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7"/>
      <c r="P481" s="7"/>
      <c r="Q481" s="62"/>
      <c r="R481" s="62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ht="19.8" x14ac:dyDescent="0.7">
      <c r="A482" s="51"/>
      <c r="B482" s="7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7"/>
      <c r="P482" s="7"/>
      <c r="Q482" s="62"/>
      <c r="R482" s="62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ht="19.8" x14ac:dyDescent="0.7">
      <c r="A483" s="51"/>
      <c r="B483" s="7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7"/>
      <c r="P483" s="7"/>
      <c r="Q483" s="62"/>
      <c r="R483" s="62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ht="19.8" x14ac:dyDescent="0.7">
      <c r="A484" s="51"/>
      <c r="B484" s="7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7"/>
      <c r="P484" s="7"/>
      <c r="Q484" s="62"/>
      <c r="R484" s="62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ht="19.8" x14ac:dyDescent="0.7">
      <c r="A485" s="51"/>
      <c r="B485" s="7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7"/>
      <c r="P485" s="7"/>
      <c r="Q485" s="62"/>
      <c r="R485" s="62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ht="19.8" x14ac:dyDescent="0.7">
      <c r="A486" s="51"/>
      <c r="B486" s="7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7"/>
      <c r="P486" s="7"/>
      <c r="Q486" s="62"/>
      <c r="R486" s="62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ht="19.8" x14ac:dyDescent="0.7">
      <c r="A487" s="51"/>
      <c r="B487" s="7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7"/>
      <c r="P487" s="7"/>
      <c r="Q487" s="62"/>
      <c r="R487" s="62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ht="19.8" x14ac:dyDescent="0.7">
      <c r="A488" s="51"/>
      <c r="B488" s="7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7"/>
      <c r="P488" s="7"/>
      <c r="Q488" s="62"/>
      <c r="R488" s="62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19.8" x14ac:dyDescent="0.7">
      <c r="A489" s="51"/>
      <c r="B489" s="7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7"/>
      <c r="P489" s="7"/>
      <c r="Q489" s="62"/>
      <c r="R489" s="62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ht="19.8" x14ac:dyDescent="0.7">
      <c r="A490" s="51"/>
      <c r="B490" s="7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7"/>
      <c r="P490" s="7"/>
      <c r="Q490" s="62"/>
      <c r="R490" s="62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ht="19.8" x14ac:dyDescent="0.7">
      <c r="A491" s="51"/>
      <c r="B491" s="7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7"/>
      <c r="P491" s="7"/>
      <c r="Q491" s="62"/>
      <c r="R491" s="62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ht="19.8" x14ac:dyDescent="0.7">
      <c r="A492" s="51"/>
      <c r="B492" s="7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7"/>
      <c r="P492" s="7"/>
      <c r="Q492" s="62"/>
      <c r="R492" s="62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ht="19.8" x14ac:dyDescent="0.7">
      <c r="A493" s="51"/>
      <c r="B493" s="7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7"/>
      <c r="P493" s="7"/>
      <c r="Q493" s="62"/>
      <c r="R493" s="62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ht="19.8" x14ac:dyDescent="0.7">
      <c r="A494" s="51"/>
      <c r="B494" s="7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7"/>
      <c r="P494" s="7"/>
      <c r="Q494" s="62"/>
      <c r="R494" s="62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ht="19.8" x14ac:dyDescent="0.7">
      <c r="A495" s="51"/>
      <c r="B495" s="7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7"/>
      <c r="P495" s="7"/>
      <c r="Q495" s="62"/>
      <c r="R495" s="62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ht="19.8" x14ac:dyDescent="0.7">
      <c r="A496" s="51"/>
      <c r="B496" s="7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7"/>
      <c r="P496" s="7"/>
      <c r="Q496" s="62"/>
      <c r="R496" s="62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ht="19.8" x14ac:dyDescent="0.7">
      <c r="A497" s="51"/>
      <c r="B497" s="7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7"/>
      <c r="P497" s="7"/>
      <c r="Q497" s="62"/>
      <c r="R497" s="62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ht="19.8" x14ac:dyDescent="0.7">
      <c r="A498" s="51"/>
      <c r="B498" s="7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7"/>
      <c r="P498" s="7"/>
      <c r="Q498" s="62"/>
      <c r="R498" s="62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ht="19.8" x14ac:dyDescent="0.7">
      <c r="A499" s="51"/>
      <c r="B499" s="7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7"/>
      <c r="P499" s="7"/>
      <c r="Q499" s="62"/>
      <c r="R499" s="62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ht="19.8" x14ac:dyDescent="0.7">
      <c r="A500" s="51"/>
      <c r="B500" s="7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7"/>
      <c r="P500" s="7"/>
      <c r="Q500" s="62"/>
      <c r="R500" s="62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ht="19.8" x14ac:dyDescent="0.7">
      <c r="A501" s="51"/>
      <c r="B501" s="7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7"/>
      <c r="P501" s="7"/>
      <c r="Q501" s="62"/>
      <c r="R501" s="62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ht="19.8" x14ac:dyDescent="0.7">
      <c r="A502" s="51"/>
      <c r="B502" s="7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7"/>
      <c r="P502" s="7"/>
      <c r="Q502" s="62"/>
      <c r="R502" s="62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ht="19.8" x14ac:dyDescent="0.7">
      <c r="A503" s="51"/>
      <c r="B503" s="7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7"/>
      <c r="P503" s="7"/>
      <c r="Q503" s="62"/>
      <c r="R503" s="62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ht="19.8" x14ac:dyDescent="0.7">
      <c r="A504" s="51"/>
      <c r="B504" s="7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7"/>
      <c r="P504" s="7"/>
      <c r="Q504" s="62"/>
      <c r="R504" s="62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ht="19.8" x14ac:dyDescent="0.7">
      <c r="A505" s="51"/>
      <c r="B505" s="7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7"/>
      <c r="P505" s="7"/>
      <c r="Q505" s="62"/>
      <c r="R505" s="62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ht="19.8" x14ac:dyDescent="0.7">
      <c r="A506" s="51"/>
      <c r="B506" s="7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7"/>
      <c r="P506" s="7"/>
      <c r="Q506" s="62"/>
      <c r="R506" s="62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ht="19.8" x14ac:dyDescent="0.7">
      <c r="A507" s="51"/>
      <c r="B507" s="7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7"/>
      <c r="P507" s="7"/>
      <c r="Q507" s="62"/>
      <c r="R507" s="62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ht="19.8" x14ac:dyDescent="0.7">
      <c r="A508" s="51"/>
      <c r="B508" s="7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7"/>
      <c r="P508" s="7"/>
      <c r="Q508" s="62"/>
      <c r="R508" s="62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ht="19.8" x14ac:dyDescent="0.7">
      <c r="A509" s="51"/>
      <c r="B509" s="7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7"/>
      <c r="P509" s="7"/>
      <c r="Q509" s="62"/>
      <c r="R509" s="62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ht="19.8" x14ac:dyDescent="0.7">
      <c r="A510" s="51"/>
      <c r="B510" s="7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7"/>
      <c r="P510" s="7"/>
      <c r="Q510" s="62"/>
      <c r="R510" s="62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ht="19.8" x14ac:dyDescent="0.7">
      <c r="A511" s="51"/>
      <c r="B511" s="7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7"/>
      <c r="P511" s="7"/>
      <c r="Q511" s="62"/>
      <c r="R511" s="62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ht="19.8" x14ac:dyDescent="0.7">
      <c r="A512" s="51"/>
      <c r="B512" s="7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7"/>
      <c r="P512" s="7"/>
      <c r="Q512" s="62"/>
      <c r="R512" s="62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ht="19.8" x14ac:dyDescent="0.7">
      <c r="A513" s="51"/>
      <c r="B513" s="7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7"/>
      <c r="P513" s="7"/>
      <c r="Q513" s="62"/>
      <c r="R513" s="62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ht="19.8" x14ac:dyDescent="0.7">
      <c r="A514" s="51"/>
      <c r="B514" s="7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7"/>
      <c r="P514" s="7"/>
      <c r="Q514" s="62"/>
      <c r="R514" s="62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ht="19.8" x14ac:dyDescent="0.7">
      <c r="A515" s="51"/>
      <c r="B515" s="7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7"/>
      <c r="P515" s="7"/>
      <c r="Q515" s="62"/>
      <c r="R515" s="62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ht="19.8" x14ac:dyDescent="0.7">
      <c r="A516" s="51"/>
      <c r="B516" s="7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7"/>
      <c r="P516" s="7"/>
      <c r="Q516" s="62"/>
      <c r="R516" s="62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ht="19.8" x14ac:dyDescent="0.7">
      <c r="A517" s="51"/>
      <c r="B517" s="7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7"/>
      <c r="P517" s="7"/>
      <c r="Q517" s="62"/>
      <c r="R517" s="62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ht="19.8" x14ac:dyDescent="0.7">
      <c r="A518" s="51"/>
      <c r="B518" s="7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7"/>
      <c r="P518" s="7"/>
      <c r="Q518" s="62"/>
      <c r="R518" s="62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ht="19.8" x14ac:dyDescent="0.7">
      <c r="A519" s="51"/>
      <c r="B519" s="7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7"/>
      <c r="P519" s="7"/>
      <c r="Q519" s="62"/>
      <c r="R519" s="62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ht="19.8" x14ac:dyDescent="0.7">
      <c r="A520" s="51"/>
      <c r="B520" s="7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7"/>
      <c r="P520" s="7"/>
      <c r="Q520" s="62"/>
      <c r="R520" s="62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ht="19.8" x14ac:dyDescent="0.7">
      <c r="A521" s="51"/>
      <c r="B521" s="7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7"/>
      <c r="P521" s="7"/>
      <c r="Q521" s="62"/>
      <c r="R521" s="62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ht="19.8" x14ac:dyDescent="0.7">
      <c r="A522" s="51"/>
      <c r="B522" s="7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7"/>
      <c r="P522" s="7"/>
      <c r="Q522" s="62"/>
      <c r="R522" s="62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ht="19.8" x14ac:dyDescent="0.7">
      <c r="A523" s="51"/>
      <c r="B523" s="7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7"/>
      <c r="P523" s="7"/>
      <c r="Q523" s="62"/>
      <c r="R523" s="62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ht="19.8" x14ac:dyDescent="0.7">
      <c r="A524" s="51"/>
      <c r="B524" s="7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7"/>
      <c r="P524" s="7"/>
      <c r="Q524" s="62"/>
      <c r="R524" s="62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ht="19.8" x14ac:dyDescent="0.7">
      <c r="A525" s="51"/>
      <c r="B525" s="7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7"/>
      <c r="P525" s="7"/>
      <c r="Q525" s="62"/>
      <c r="R525" s="62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ht="19.8" x14ac:dyDescent="0.7">
      <c r="A526" s="51"/>
      <c r="B526" s="7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7"/>
      <c r="P526" s="7"/>
      <c r="Q526" s="62"/>
      <c r="R526" s="62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19.8" x14ac:dyDescent="0.7">
      <c r="A527" s="51"/>
      <c r="B527" s="7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7"/>
      <c r="P527" s="7"/>
      <c r="Q527" s="62"/>
      <c r="R527" s="62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ht="19.8" x14ac:dyDescent="0.7">
      <c r="A528" s="51"/>
      <c r="B528" s="7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7"/>
      <c r="P528" s="7"/>
      <c r="Q528" s="62"/>
      <c r="R528" s="62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ht="19.8" x14ac:dyDescent="0.7">
      <c r="A529" s="51"/>
      <c r="B529" s="7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7"/>
      <c r="P529" s="7"/>
      <c r="Q529" s="62"/>
      <c r="R529" s="62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ht="19.8" x14ac:dyDescent="0.7">
      <c r="A530" s="51"/>
      <c r="B530" s="7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7"/>
      <c r="P530" s="7"/>
      <c r="Q530" s="62"/>
      <c r="R530" s="62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ht="19.8" x14ac:dyDescent="0.7">
      <c r="A531" s="51"/>
      <c r="B531" s="7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7"/>
      <c r="P531" s="7"/>
      <c r="Q531" s="62"/>
      <c r="R531" s="62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ht="19.8" x14ac:dyDescent="0.7">
      <c r="A532" s="51"/>
      <c r="B532" s="7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7"/>
      <c r="P532" s="7"/>
      <c r="Q532" s="62"/>
      <c r="R532" s="62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ht="19.8" x14ac:dyDescent="0.7">
      <c r="A533" s="51"/>
      <c r="B533" s="7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7"/>
      <c r="P533" s="7"/>
      <c r="Q533" s="62"/>
      <c r="R533" s="62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ht="19.8" x14ac:dyDescent="0.7">
      <c r="A534" s="51"/>
      <c r="B534" s="7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7"/>
      <c r="P534" s="7"/>
      <c r="Q534" s="62"/>
      <c r="R534" s="62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ht="19.8" x14ac:dyDescent="0.7">
      <c r="A535" s="51"/>
      <c r="B535" s="7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7"/>
      <c r="P535" s="7"/>
      <c r="Q535" s="62"/>
      <c r="R535" s="62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ht="19.8" x14ac:dyDescent="0.7">
      <c r="A536" s="51"/>
      <c r="B536" s="7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7"/>
      <c r="P536" s="7"/>
      <c r="Q536" s="62"/>
      <c r="R536" s="62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ht="19.8" x14ac:dyDescent="0.7">
      <c r="A537" s="51"/>
      <c r="B537" s="7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7"/>
      <c r="P537" s="7"/>
      <c r="Q537" s="62"/>
      <c r="R537" s="62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ht="19.8" x14ac:dyDescent="0.7">
      <c r="A538" s="51"/>
      <c r="B538" s="7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7"/>
      <c r="P538" s="7"/>
      <c r="Q538" s="62"/>
      <c r="R538" s="62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ht="19.8" x14ac:dyDescent="0.7">
      <c r="A539" s="51"/>
      <c r="B539" s="7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7"/>
      <c r="P539" s="7"/>
      <c r="Q539" s="62"/>
      <c r="R539" s="62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ht="19.8" x14ac:dyDescent="0.7">
      <c r="A540" s="51"/>
      <c r="B540" s="7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7"/>
      <c r="P540" s="7"/>
      <c r="Q540" s="62"/>
      <c r="R540" s="62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ht="19.8" x14ac:dyDescent="0.7">
      <c r="A541" s="51"/>
      <c r="B541" s="7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7"/>
      <c r="P541" s="7"/>
      <c r="Q541" s="62"/>
      <c r="R541" s="62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ht="19.8" x14ac:dyDescent="0.7">
      <c r="A542" s="51"/>
      <c r="B542" s="7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7"/>
      <c r="P542" s="7"/>
      <c r="Q542" s="62"/>
      <c r="R542" s="62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ht="19.8" x14ac:dyDescent="0.7">
      <c r="A543" s="51"/>
      <c r="B543" s="7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7"/>
      <c r="P543" s="7"/>
      <c r="Q543" s="62"/>
      <c r="R543" s="62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ht="19.8" x14ac:dyDescent="0.7">
      <c r="A544" s="51"/>
      <c r="B544" s="7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7"/>
      <c r="P544" s="7"/>
      <c r="Q544" s="62"/>
      <c r="R544" s="62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ht="19.8" x14ac:dyDescent="0.7">
      <c r="A545" s="51"/>
      <c r="B545" s="7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7"/>
      <c r="P545" s="7"/>
      <c r="Q545" s="62"/>
      <c r="R545" s="62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ht="19.8" x14ac:dyDescent="0.7">
      <c r="A546" s="51"/>
      <c r="B546" s="7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7"/>
      <c r="P546" s="7"/>
      <c r="Q546" s="62"/>
      <c r="R546" s="62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ht="19.8" x14ac:dyDescent="0.7">
      <c r="A547" s="51"/>
      <c r="B547" s="7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7"/>
      <c r="P547" s="7"/>
      <c r="Q547" s="62"/>
      <c r="R547" s="62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ht="19.8" x14ac:dyDescent="0.7">
      <c r="A548" s="51"/>
      <c r="B548" s="7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7"/>
      <c r="P548" s="7"/>
      <c r="Q548" s="62"/>
      <c r="R548" s="62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ht="19.8" x14ac:dyDescent="0.7">
      <c r="A549" s="51"/>
      <c r="B549" s="7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7"/>
      <c r="P549" s="7"/>
      <c r="Q549" s="62"/>
      <c r="R549" s="62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ht="19.8" x14ac:dyDescent="0.7">
      <c r="A550" s="51"/>
      <c r="B550" s="7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7"/>
      <c r="P550" s="7"/>
      <c r="Q550" s="62"/>
      <c r="R550" s="62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ht="19.8" x14ac:dyDescent="0.7">
      <c r="A551" s="51"/>
      <c r="B551" s="7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7"/>
      <c r="P551" s="7"/>
      <c r="Q551" s="62"/>
      <c r="R551" s="62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ht="19.8" x14ac:dyDescent="0.7">
      <c r="A552" s="51"/>
      <c r="B552" s="7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7"/>
      <c r="P552" s="7"/>
      <c r="Q552" s="62"/>
      <c r="R552" s="62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ht="19.8" x14ac:dyDescent="0.7">
      <c r="A553" s="51"/>
      <c r="B553" s="7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7"/>
      <c r="P553" s="7"/>
      <c r="Q553" s="62"/>
      <c r="R553" s="62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ht="19.8" x14ac:dyDescent="0.7">
      <c r="A554" s="51"/>
      <c r="B554" s="7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7"/>
      <c r="P554" s="7"/>
      <c r="Q554" s="62"/>
      <c r="R554" s="62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ht="19.8" x14ac:dyDescent="0.7">
      <c r="A555" s="51"/>
      <c r="B555" s="7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7"/>
      <c r="P555" s="7"/>
      <c r="Q555" s="62"/>
      <c r="R555" s="62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ht="19.8" x14ac:dyDescent="0.7">
      <c r="A556" s="51"/>
      <c r="B556" s="7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7"/>
      <c r="P556" s="7"/>
      <c r="Q556" s="62"/>
      <c r="R556" s="62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ht="19.8" x14ac:dyDescent="0.7">
      <c r="A557" s="51"/>
      <c r="B557" s="7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7"/>
      <c r="P557" s="7"/>
      <c r="Q557" s="62"/>
      <c r="R557" s="62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ht="19.8" x14ac:dyDescent="0.7">
      <c r="A558" s="51"/>
      <c r="B558" s="7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7"/>
      <c r="P558" s="7"/>
      <c r="Q558" s="62"/>
      <c r="R558" s="62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ht="19.8" x14ac:dyDescent="0.7">
      <c r="A559" s="51"/>
      <c r="B559" s="7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7"/>
      <c r="P559" s="7"/>
      <c r="Q559" s="62"/>
      <c r="R559" s="62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ht="19.8" x14ac:dyDescent="0.7">
      <c r="A560" s="51"/>
      <c r="B560" s="7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7"/>
      <c r="P560" s="7"/>
      <c r="Q560" s="62"/>
      <c r="R560" s="62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ht="19.8" x14ac:dyDescent="0.7">
      <c r="A561" s="51"/>
      <c r="B561" s="7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7"/>
      <c r="P561" s="7"/>
      <c r="Q561" s="62"/>
      <c r="R561" s="62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ht="19.8" x14ac:dyDescent="0.7">
      <c r="A562" s="51"/>
      <c r="B562" s="7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7"/>
      <c r="P562" s="7"/>
      <c r="Q562" s="62"/>
      <c r="R562" s="62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ht="19.8" x14ac:dyDescent="0.7">
      <c r="A563" s="51"/>
      <c r="B563" s="7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7"/>
      <c r="P563" s="7"/>
      <c r="Q563" s="62"/>
      <c r="R563" s="62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ht="19.8" x14ac:dyDescent="0.7">
      <c r="A564" s="51"/>
      <c r="B564" s="7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7"/>
      <c r="P564" s="7"/>
      <c r="Q564" s="62"/>
      <c r="R564" s="62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ht="19.8" x14ac:dyDescent="0.7">
      <c r="A565" s="51"/>
      <c r="B565" s="7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7"/>
      <c r="P565" s="7"/>
      <c r="Q565" s="62"/>
      <c r="R565" s="62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ht="19.8" x14ac:dyDescent="0.7">
      <c r="A566" s="51"/>
      <c r="B566" s="7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7"/>
      <c r="P566" s="7"/>
      <c r="Q566" s="62"/>
      <c r="R566" s="62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ht="19.8" x14ac:dyDescent="0.7">
      <c r="A567" s="51"/>
      <c r="B567" s="7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7"/>
      <c r="P567" s="7"/>
      <c r="Q567" s="62"/>
      <c r="R567" s="62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ht="19.8" x14ac:dyDescent="0.7">
      <c r="A568" s="51"/>
      <c r="B568" s="7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7"/>
      <c r="P568" s="7"/>
      <c r="Q568" s="62"/>
      <c r="R568" s="62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ht="19.8" x14ac:dyDescent="0.7">
      <c r="A569" s="51"/>
      <c r="B569" s="7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7"/>
      <c r="P569" s="7"/>
      <c r="Q569" s="62"/>
      <c r="R569" s="62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ht="19.8" x14ac:dyDescent="0.7">
      <c r="A570" s="51"/>
      <c r="B570" s="7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7"/>
      <c r="P570" s="7"/>
      <c r="Q570" s="62"/>
      <c r="R570" s="62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ht="19.8" x14ac:dyDescent="0.7">
      <c r="A571" s="51"/>
      <c r="B571" s="7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7"/>
      <c r="P571" s="7"/>
      <c r="Q571" s="62"/>
      <c r="R571" s="62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ht="19.8" x14ac:dyDescent="0.7">
      <c r="A572" s="51"/>
      <c r="B572" s="7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7"/>
      <c r="P572" s="7"/>
      <c r="Q572" s="62"/>
      <c r="R572" s="62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ht="19.8" x14ac:dyDescent="0.7">
      <c r="A573" s="51"/>
      <c r="B573" s="7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7"/>
      <c r="P573" s="7"/>
      <c r="Q573" s="62"/>
      <c r="R573" s="62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ht="19.8" x14ac:dyDescent="0.7">
      <c r="A574" s="51"/>
      <c r="B574" s="7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7"/>
      <c r="P574" s="7"/>
      <c r="Q574" s="62"/>
      <c r="R574" s="62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ht="19.8" x14ac:dyDescent="0.7">
      <c r="A575" s="51"/>
      <c r="B575" s="7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7"/>
      <c r="P575" s="7"/>
      <c r="Q575" s="62"/>
      <c r="R575" s="62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ht="19.8" x14ac:dyDescent="0.7">
      <c r="A576" s="51"/>
      <c r="B576" s="7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7"/>
      <c r="P576" s="7"/>
      <c r="Q576" s="62"/>
      <c r="R576" s="62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ht="19.8" x14ac:dyDescent="0.7">
      <c r="A577" s="51"/>
      <c r="B577" s="7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7"/>
      <c r="P577" s="7"/>
      <c r="Q577" s="62"/>
      <c r="R577" s="62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ht="19.8" x14ac:dyDescent="0.7">
      <c r="A578" s="51"/>
      <c r="B578" s="7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7"/>
      <c r="P578" s="7"/>
      <c r="Q578" s="62"/>
      <c r="R578" s="62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ht="19.8" x14ac:dyDescent="0.7">
      <c r="A579" s="51"/>
      <c r="B579" s="7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7"/>
      <c r="P579" s="7"/>
      <c r="Q579" s="62"/>
      <c r="R579" s="62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ht="19.8" x14ac:dyDescent="0.7">
      <c r="A580" s="51"/>
      <c r="B580" s="7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7"/>
      <c r="P580" s="7"/>
      <c r="Q580" s="62"/>
      <c r="R580" s="62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ht="19.8" x14ac:dyDescent="0.7">
      <c r="A581" s="51"/>
      <c r="B581" s="7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7"/>
      <c r="P581" s="7"/>
      <c r="Q581" s="62"/>
      <c r="R581" s="62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ht="19.8" x14ac:dyDescent="0.7">
      <c r="A582" s="51"/>
      <c r="B582" s="7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7"/>
      <c r="P582" s="7"/>
      <c r="Q582" s="62"/>
      <c r="R582" s="62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ht="19.8" x14ac:dyDescent="0.7">
      <c r="A583" s="51"/>
      <c r="B583" s="7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7"/>
      <c r="P583" s="7"/>
      <c r="Q583" s="62"/>
      <c r="R583" s="62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ht="19.8" x14ac:dyDescent="0.7">
      <c r="A584" s="51"/>
      <c r="B584" s="7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7"/>
      <c r="P584" s="7"/>
      <c r="Q584" s="62"/>
      <c r="R584" s="62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ht="19.8" x14ac:dyDescent="0.7">
      <c r="A585" s="51"/>
      <c r="B585" s="7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7"/>
      <c r="P585" s="7"/>
      <c r="Q585" s="62"/>
      <c r="R585" s="62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ht="19.8" x14ac:dyDescent="0.7">
      <c r="A586" s="51"/>
      <c r="B586" s="7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7"/>
      <c r="P586" s="7"/>
      <c r="Q586" s="62"/>
      <c r="R586" s="62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ht="19.8" x14ac:dyDescent="0.7">
      <c r="A587" s="51"/>
      <c r="B587" s="7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7"/>
      <c r="P587" s="7"/>
      <c r="Q587" s="62"/>
      <c r="R587" s="62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ht="19.8" x14ac:dyDescent="0.7">
      <c r="A588" s="51"/>
      <c r="B588" s="7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7"/>
      <c r="P588" s="7"/>
      <c r="Q588" s="62"/>
      <c r="R588" s="62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ht="19.8" x14ac:dyDescent="0.7">
      <c r="A589" s="51"/>
      <c r="B589" s="7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7"/>
      <c r="P589" s="7"/>
      <c r="Q589" s="62"/>
      <c r="R589" s="62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ht="19.8" x14ac:dyDescent="0.7">
      <c r="A590" s="51"/>
      <c r="B590" s="7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7"/>
      <c r="P590" s="7"/>
      <c r="Q590" s="62"/>
      <c r="R590" s="62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ht="19.8" x14ac:dyDescent="0.7">
      <c r="A591" s="51"/>
      <c r="B591" s="7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7"/>
      <c r="P591" s="7"/>
      <c r="Q591" s="62"/>
      <c r="R591" s="62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ht="19.8" x14ac:dyDescent="0.7">
      <c r="A592" s="51"/>
      <c r="B592" s="7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7"/>
      <c r="P592" s="7"/>
      <c r="Q592" s="62"/>
      <c r="R592" s="62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ht="19.8" x14ac:dyDescent="0.7">
      <c r="A593" s="51"/>
      <c r="B593" s="7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7"/>
      <c r="P593" s="7"/>
      <c r="Q593" s="62"/>
      <c r="R593" s="62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ht="19.8" x14ac:dyDescent="0.7">
      <c r="A594" s="51"/>
      <c r="B594" s="7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7"/>
      <c r="P594" s="7"/>
      <c r="Q594" s="62"/>
      <c r="R594" s="62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ht="19.8" x14ac:dyDescent="0.7">
      <c r="A595" s="51"/>
      <c r="B595" s="7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7"/>
      <c r="P595" s="7"/>
      <c r="Q595" s="62"/>
      <c r="R595" s="62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ht="19.8" x14ac:dyDescent="0.7">
      <c r="A596" s="51"/>
      <c r="B596" s="7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7"/>
      <c r="P596" s="7"/>
      <c r="Q596" s="62"/>
      <c r="R596" s="62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ht="19.8" x14ac:dyDescent="0.7">
      <c r="A597" s="51"/>
      <c r="B597" s="7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7"/>
      <c r="P597" s="7"/>
      <c r="Q597" s="62"/>
      <c r="R597" s="62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ht="19.8" x14ac:dyDescent="0.7">
      <c r="A598" s="51"/>
      <c r="B598" s="7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7"/>
      <c r="P598" s="7"/>
      <c r="Q598" s="62"/>
      <c r="R598" s="62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ht="19.8" x14ac:dyDescent="0.7">
      <c r="A599" s="51"/>
      <c r="B599" s="7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7"/>
      <c r="P599" s="7"/>
      <c r="Q599" s="62"/>
      <c r="R599" s="62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ht="19.8" x14ac:dyDescent="0.7">
      <c r="A600" s="51"/>
      <c r="B600" s="7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7"/>
      <c r="P600" s="7"/>
      <c r="Q600" s="62"/>
      <c r="R600" s="62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ht="19.8" x14ac:dyDescent="0.7">
      <c r="A601" s="51"/>
      <c r="B601" s="7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7"/>
      <c r="P601" s="7"/>
      <c r="Q601" s="62"/>
      <c r="R601" s="62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ht="19.8" x14ac:dyDescent="0.7">
      <c r="A602" s="51"/>
      <c r="B602" s="7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7"/>
      <c r="P602" s="7"/>
      <c r="Q602" s="62"/>
      <c r="R602" s="62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ht="19.8" x14ac:dyDescent="0.7">
      <c r="A603" s="51"/>
      <c r="B603" s="7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7"/>
      <c r="P603" s="7"/>
      <c r="Q603" s="62"/>
      <c r="R603" s="62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ht="19.8" x14ac:dyDescent="0.7">
      <c r="A604" s="51"/>
      <c r="B604" s="7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7"/>
      <c r="P604" s="7"/>
      <c r="Q604" s="62"/>
      <c r="R604" s="62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ht="19.8" x14ac:dyDescent="0.7">
      <c r="A605" s="51"/>
      <c r="B605" s="7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7"/>
      <c r="P605" s="7"/>
      <c r="Q605" s="62"/>
      <c r="R605" s="62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ht="19.8" x14ac:dyDescent="0.7">
      <c r="A606" s="51"/>
      <c r="B606" s="7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7"/>
      <c r="P606" s="7"/>
      <c r="Q606" s="62"/>
      <c r="R606" s="62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ht="19.8" x14ac:dyDescent="0.7">
      <c r="A607" s="51"/>
      <c r="B607" s="7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7"/>
      <c r="P607" s="7"/>
      <c r="Q607" s="62"/>
      <c r="R607" s="62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ht="19.8" x14ac:dyDescent="0.7">
      <c r="A608" s="51"/>
      <c r="B608" s="7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7"/>
      <c r="P608" s="7"/>
      <c r="Q608" s="62"/>
      <c r="R608" s="62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ht="19.8" x14ac:dyDescent="0.7">
      <c r="A609" s="51"/>
      <c r="B609" s="7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7"/>
      <c r="P609" s="7"/>
      <c r="Q609" s="62"/>
      <c r="R609" s="62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ht="19.8" x14ac:dyDescent="0.7">
      <c r="A610" s="51"/>
      <c r="B610" s="7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7"/>
      <c r="P610" s="7"/>
      <c r="Q610" s="62"/>
      <c r="R610" s="62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ht="19.8" x14ac:dyDescent="0.7">
      <c r="A611" s="51"/>
      <c r="B611" s="7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7"/>
      <c r="P611" s="7"/>
      <c r="Q611" s="62"/>
      <c r="R611" s="62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ht="19.8" x14ac:dyDescent="0.7">
      <c r="A612" s="51"/>
      <c r="B612" s="7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7"/>
      <c r="P612" s="7"/>
      <c r="Q612" s="62"/>
      <c r="R612" s="62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ht="19.8" x14ac:dyDescent="0.7">
      <c r="A613" s="51"/>
      <c r="B613" s="7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7"/>
      <c r="P613" s="7"/>
      <c r="Q613" s="62"/>
      <c r="R613" s="62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ht="19.8" x14ac:dyDescent="0.7">
      <c r="A614" s="51"/>
      <c r="B614" s="7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7"/>
      <c r="P614" s="7"/>
      <c r="Q614" s="62"/>
      <c r="R614" s="62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ht="19.8" x14ac:dyDescent="0.7">
      <c r="A615" s="51"/>
      <c r="B615" s="7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7"/>
      <c r="P615" s="7"/>
      <c r="Q615" s="62"/>
      <c r="R615" s="62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ht="19.8" x14ac:dyDescent="0.7">
      <c r="A616" s="51"/>
      <c r="B616" s="7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7"/>
      <c r="P616" s="7"/>
      <c r="Q616" s="62"/>
      <c r="R616" s="62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ht="19.8" x14ac:dyDescent="0.7">
      <c r="A617" s="51"/>
      <c r="B617" s="7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7"/>
      <c r="P617" s="7"/>
      <c r="Q617" s="62"/>
      <c r="R617" s="62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ht="19.8" x14ac:dyDescent="0.7">
      <c r="A618" s="51"/>
      <c r="B618" s="7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7"/>
      <c r="P618" s="7"/>
      <c r="Q618" s="62"/>
      <c r="R618" s="62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ht="19.8" x14ac:dyDescent="0.7">
      <c r="A619" s="51"/>
      <c r="B619" s="7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7"/>
      <c r="P619" s="7"/>
      <c r="Q619" s="62"/>
      <c r="R619" s="62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ht="19.8" x14ac:dyDescent="0.7">
      <c r="A620" s="51"/>
      <c r="B620" s="7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7"/>
      <c r="P620" s="7"/>
      <c r="Q620" s="62"/>
      <c r="R620" s="62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ht="19.8" x14ac:dyDescent="0.7">
      <c r="A621" s="51"/>
      <c r="B621" s="7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7"/>
      <c r="P621" s="7"/>
      <c r="Q621" s="62"/>
      <c r="R621" s="62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ht="19.8" x14ac:dyDescent="0.7">
      <c r="A622" s="51"/>
      <c r="B622" s="7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7"/>
      <c r="P622" s="7"/>
      <c r="Q622" s="62"/>
      <c r="R622" s="62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ht="19.8" x14ac:dyDescent="0.7">
      <c r="A623" s="51"/>
      <c r="B623" s="7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7"/>
      <c r="P623" s="7"/>
      <c r="Q623" s="62"/>
      <c r="R623" s="62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ht="19.8" x14ac:dyDescent="0.7">
      <c r="A624" s="51"/>
      <c r="B624" s="7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7"/>
      <c r="P624" s="7"/>
      <c r="Q624" s="62"/>
      <c r="R624" s="62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ht="19.8" x14ac:dyDescent="0.7">
      <c r="A625" s="51"/>
      <c r="B625" s="7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7"/>
      <c r="P625" s="7"/>
      <c r="Q625" s="62"/>
      <c r="R625" s="62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ht="19.8" x14ac:dyDescent="0.7">
      <c r="A626" s="51"/>
      <c r="B626" s="7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7"/>
      <c r="P626" s="7"/>
      <c r="Q626" s="62"/>
      <c r="R626" s="62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ht="19.8" x14ac:dyDescent="0.7">
      <c r="A627" s="51"/>
      <c r="B627" s="7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7"/>
      <c r="P627" s="7"/>
      <c r="Q627" s="62"/>
      <c r="R627" s="62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ht="19.8" x14ac:dyDescent="0.7">
      <c r="A628" s="51"/>
      <c r="B628" s="7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7"/>
      <c r="P628" s="7"/>
      <c r="Q628" s="62"/>
      <c r="R628" s="62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ht="19.8" x14ac:dyDescent="0.7">
      <c r="A629" s="51"/>
      <c r="B629" s="7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7"/>
      <c r="P629" s="7"/>
      <c r="Q629" s="62"/>
      <c r="R629" s="62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ht="19.8" x14ac:dyDescent="0.7">
      <c r="A630" s="51"/>
      <c r="B630" s="7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7"/>
      <c r="P630" s="7"/>
      <c r="Q630" s="62"/>
      <c r="R630" s="62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ht="19.8" x14ac:dyDescent="0.7">
      <c r="A631" s="51"/>
      <c r="B631" s="7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7"/>
      <c r="P631" s="7"/>
      <c r="Q631" s="62"/>
      <c r="R631" s="62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ht="19.8" x14ac:dyDescent="0.7">
      <c r="A632" s="51"/>
      <c r="B632" s="7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7"/>
      <c r="P632" s="7"/>
      <c r="Q632" s="62"/>
      <c r="R632" s="62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ht="19.8" x14ac:dyDescent="0.7">
      <c r="A633" s="51"/>
      <c r="B633" s="7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7"/>
      <c r="P633" s="7"/>
      <c r="Q633" s="62"/>
      <c r="R633" s="62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ht="19.8" x14ac:dyDescent="0.7">
      <c r="A634" s="51"/>
      <c r="B634" s="7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7"/>
      <c r="P634" s="7"/>
      <c r="Q634" s="62"/>
      <c r="R634" s="62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ht="19.8" x14ac:dyDescent="0.7">
      <c r="A635" s="51"/>
      <c r="B635" s="7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7"/>
      <c r="P635" s="7"/>
      <c r="Q635" s="62"/>
      <c r="R635" s="62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ht="19.8" x14ac:dyDescent="0.7">
      <c r="A636" s="51"/>
      <c r="B636" s="7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7"/>
      <c r="P636" s="7"/>
      <c r="Q636" s="62"/>
      <c r="R636" s="62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ht="19.8" x14ac:dyDescent="0.7">
      <c r="A637" s="51"/>
      <c r="B637" s="7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7"/>
      <c r="P637" s="7"/>
      <c r="Q637" s="62"/>
      <c r="R637" s="62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ht="19.8" x14ac:dyDescent="0.7">
      <c r="A638" s="51"/>
      <c r="B638" s="7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7"/>
      <c r="P638" s="7"/>
      <c r="Q638" s="62"/>
      <c r="R638" s="62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ht="19.8" x14ac:dyDescent="0.7">
      <c r="A639" s="51"/>
      <c r="B639" s="7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7"/>
      <c r="P639" s="7"/>
      <c r="Q639" s="62"/>
      <c r="R639" s="62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ht="19.8" x14ac:dyDescent="0.7">
      <c r="A640" s="51"/>
      <c r="B640" s="7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7"/>
      <c r="P640" s="7"/>
      <c r="Q640" s="62"/>
      <c r="R640" s="62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ht="19.8" x14ac:dyDescent="0.7">
      <c r="A641" s="51"/>
      <c r="B641" s="7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7"/>
      <c r="P641" s="7"/>
      <c r="Q641" s="62"/>
      <c r="R641" s="62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ht="19.8" x14ac:dyDescent="0.7">
      <c r="A642" s="51"/>
      <c r="B642" s="7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7"/>
      <c r="P642" s="7"/>
      <c r="Q642" s="62"/>
      <c r="R642" s="62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ht="19.8" x14ac:dyDescent="0.7">
      <c r="A643" s="51"/>
      <c r="B643" s="7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7"/>
      <c r="P643" s="7"/>
      <c r="Q643" s="62"/>
      <c r="R643" s="62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ht="19.8" x14ac:dyDescent="0.7">
      <c r="A644" s="51"/>
      <c r="B644" s="7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7"/>
      <c r="P644" s="7"/>
      <c r="Q644" s="62"/>
      <c r="R644" s="62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ht="19.8" x14ac:dyDescent="0.7">
      <c r="A645" s="51"/>
      <c r="B645" s="7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7"/>
      <c r="P645" s="7"/>
      <c r="Q645" s="62"/>
      <c r="R645" s="62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ht="19.8" x14ac:dyDescent="0.7">
      <c r="A646" s="51"/>
      <c r="B646" s="7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7"/>
      <c r="P646" s="7"/>
      <c r="Q646" s="62"/>
      <c r="R646" s="62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ht="19.8" x14ac:dyDescent="0.7">
      <c r="A647" s="51"/>
      <c r="B647" s="7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7"/>
      <c r="P647" s="7"/>
      <c r="Q647" s="62"/>
      <c r="R647" s="62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ht="19.8" x14ac:dyDescent="0.7">
      <c r="A648" s="51"/>
      <c r="B648" s="7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7"/>
      <c r="P648" s="7"/>
      <c r="Q648" s="62"/>
      <c r="R648" s="62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ht="19.8" x14ac:dyDescent="0.7">
      <c r="A649" s="51"/>
      <c r="B649" s="7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7"/>
      <c r="P649" s="7"/>
      <c r="Q649" s="62"/>
      <c r="R649" s="62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ht="19.8" x14ac:dyDescent="0.7">
      <c r="A650" s="51"/>
      <c r="B650" s="7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7"/>
      <c r="P650" s="7"/>
      <c r="Q650" s="62"/>
      <c r="R650" s="62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ht="19.8" x14ac:dyDescent="0.7">
      <c r="A651" s="51"/>
      <c r="B651" s="7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7"/>
      <c r="P651" s="7"/>
      <c r="Q651" s="62"/>
      <c r="R651" s="62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ht="19.8" x14ac:dyDescent="0.7">
      <c r="A652" s="51"/>
      <c r="B652" s="7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7"/>
      <c r="P652" s="7"/>
      <c r="Q652" s="62"/>
      <c r="R652" s="62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ht="19.8" x14ac:dyDescent="0.7">
      <c r="A653" s="51"/>
      <c r="B653" s="7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7"/>
      <c r="P653" s="7"/>
      <c r="Q653" s="62"/>
      <c r="R653" s="62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ht="19.8" x14ac:dyDescent="0.7">
      <c r="A654" s="51"/>
      <c r="B654" s="7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7"/>
      <c r="P654" s="7"/>
      <c r="Q654" s="62"/>
      <c r="R654" s="62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ht="19.8" x14ac:dyDescent="0.7">
      <c r="A655" s="51"/>
      <c r="B655" s="7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7"/>
      <c r="P655" s="7"/>
      <c r="Q655" s="62"/>
      <c r="R655" s="62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ht="19.8" x14ac:dyDescent="0.7">
      <c r="A656" s="51"/>
      <c r="B656" s="7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7"/>
      <c r="P656" s="7"/>
      <c r="Q656" s="62"/>
      <c r="R656" s="62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ht="19.8" x14ac:dyDescent="0.7">
      <c r="A657" s="51"/>
      <c r="B657" s="7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7"/>
      <c r="P657" s="7"/>
      <c r="Q657" s="62"/>
      <c r="R657" s="62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ht="19.8" x14ac:dyDescent="0.7">
      <c r="A658" s="51"/>
      <c r="B658" s="7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7"/>
      <c r="P658" s="7"/>
      <c r="Q658" s="62"/>
      <c r="R658" s="62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ht="19.8" x14ac:dyDescent="0.7">
      <c r="A659" s="51"/>
      <c r="B659" s="7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7"/>
      <c r="P659" s="7"/>
      <c r="Q659" s="62"/>
      <c r="R659" s="62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ht="19.8" x14ac:dyDescent="0.7">
      <c r="A660" s="51"/>
      <c r="B660" s="7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7"/>
      <c r="P660" s="7"/>
      <c r="Q660" s="62"/>
      <c r="R660" s="62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ht="19.8" x14ac:dyDescent="0.7">
      <c r="A661" s="51"/>
      <c r="B661" s="7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7"/>
      <c r="P661" s="7"/>
      <c r="Q661" s="62"/>
      <c r="R661" s="62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ht="19.8" x14ac:dyDescent="0.7">
      <c r="A662" s="51"/>
      <c r="B662" s="7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7"/>
      <c r="P662" s="7"/>
      <c r="Q662" s="62"/>
      <c r="R662" s="62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ht="19.8" x14ac:dyDescent="0.7">
      <c r="A663" s="51"/>
      <c r="B663" s="7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7"/>
      <c r="P663" s="7"/>
      <c r="Q663" s="62"/>
      <c r="R663" s="62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ht="19.8" x14ac:dyDescent="0.7">
      <c r="A664" s="51"/>
      <c r="B664" s="7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7"/>
      <c r="P664" s="7"/>
      <c r="Q664" s="62"/>
      <c r="R664" s="62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ht="19.8" x14ac:dyDescent="0.7">
      <c r="A665" s="51"/>
      <c r="B665" s="7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7"/>
      <c r="P665" s="7"/>
      <c r="Q665" s="62"/>
      <c r="R665" s="62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ht="19.8" x14ac:dyDescent="0.7">
      <c r="A666" s="51"/>
      <c r="B666" s="7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7"/>
      <c r="P666" s="7"/>
      <c r="Q666" s="62"/>
      <c r="R666" s="62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ht="19.8" x14ac:dyDescent="0.7">
      <c r="A667" s="51"/>
      <c r="B667" s="7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7"/>
      <c r="P667" s="7"/>
      <c r="Q667" s="62"/>
      <c r="R667" s="62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ht="19.8" x14ac:dyDescent="0.7">
      <c r="A668" s="51"/>
      <c r="B668" s="7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7"/>
      <c r="P668" s="7"/>
      <c r="Q668" s="62"/>
      <c r="R668" s="62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ht="19.8" x14ac:dyDescent="0.7">
      <c r="A669" s="51"/>
      <c r="B669" s="7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7"/>
      <c r="P669" s="7"/>
      <c r="Q669" s="62"/>
      <c r="R669" s="62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ht="19.8" x14ac:dyDescent="0.7">
      <c r="A670" s="51"/>
      <c r="B670" s="7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7"/>
      <c r="P670" s="7"/>
      <c r="Q670" s="62"/>
      <c r="R670" s="62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19.8" x14ac:dyDescent="0.7">
      <c r="A671" s="51"/>
      <c r="B671" s="7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7"/>
      <c r="P671" s="7"/>
      <c r="Q671" s="62"/>
      <c r="R671" s="62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ht="19.8" x14ac:dyDescent="0.7">
      <c r="A672" s="51"/>
      <c r="B672" s="7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7"/>
      <c r="P672" s="7"/>
      <c r="Q672" s="62"/>
      <c r="R672" s="62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ht="19.8" x14ac:dyDescent="0.7">
      <c r="A673" s="51"/>
      <c r="B673" s="7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7"/>
      <c r="P673" s="7"/>
      <c r="Q673" s="62"/>
      <c r="R673" s="62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ht="19.8" x14ac:dyDescent="0.7">
      <c r="A674" s="51"/>
      <c r="B674" s="7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7"/>
      <c r="P674" s="7"/>
      <c r="Q674" s="62"/>
      <c r="R674" s="62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ht="19.8" x14ac:dyDescent="0.7">
      <c r="A675" s="51"/>
      <c r="B675" s="7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7"/>
      <c r="P675" s="7"/>
      <c r="Q675" s="62"/>
      <c r="R675" s="62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ht="19.8" x14ac:dyDescent="0.7">
      <c r="A676" s="51"/>
      <c r="B676" s="7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7"/>
      <c r="P676" s="7"/>
      <c r="Q676" s="62"/>
      <c r="R676" s="62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ht="19.8" x14ac:dyDescent="0.7">
      <c r="A677" s="51"/>
      <c r="B677" s="7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7"/>
      <c r="P677" s="7"/>
      <c r="Q677" s="62"/>
      <c r="R677" s="62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ht="19.8" x14ac:dyDescent="0.7">
      <c r="A678" s="51"/>
      <c r="B678" s="7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7"/>
      <c r="P678" s="7"/>
      <c r="Q678" s="62"/>
      <c r="R678" s="62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ht="19.8" x14ac:dyDescent="0.7">
      <c r="A679" s="51"/>
      <c r="B679" s="7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7"/>
      <c r="P679" s="7"/>
      <c r="Q679" s="62"/>
      <c r="R679" s="62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ht="19.8" x14ac:dyDescent="0.7">
      <c r="A680" s="51"/>
      <c r="B680" s="7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7"/>
      <c r="P680" s="7"/>
      <c r="Q680" s="62"/>
      <c r="R680" s="62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ht="19.8" x14ac:dyDescent="0.7">
      <c r="A681" s="51"/>
      <c r="B681" s="7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7"/>
      <c r="P681" s="7"/>
      <c r="Q681" s="62"/>
      <c r="R681" s="62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ht="19.8" x14ac:dyDescent="0.7">
      <c r="A682" s="51"/>
      <c r="B682" s="7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7"/>
      <c r="P682" s="7"/>
      <c r="Q682" s="62"/>
      <c r="R682" s="62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ht="19.8" x14ac:dyDescent="0.7">
      <c r="A683" s="51"/>
      <c r="B683" s="7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7"/>
      <c r="P683" s="7"/>
      <c r="Q683" s="62"/>
      <c r="R683" s="62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ht="19.8" x14ac:dyDescent="0.7">
      <c r="A684" s="51"/>
      <c r="B684" s="7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7"/>
      <c r="P684" s="7"/>
      <c r="Q684" s="62"/>
      <c r="R684" s="62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ht="19.8" x14ac:dyDescent="0.7">
      <c r="A685" s="51"/>
      <c r="B685" s="7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7"/>
      <c r="P685" s="7"/>
      <c r="Q685" s="62"/>
      <c r="R685" s="62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ht="19.8" x14ac:dyDescent="0.7">
      <c r="A686" s="51"/>
      <c r="B686" s="7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7"/>
      <c r="P686" s="7"/>
      <c r="Q686" s="62"/>
      <c r="R686" s="62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ht="19.8" x14ac:dyDescent="0.7">
      <c r="A687" s="51"/>
      <c r="B687" s="7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7"/>
      <c r="P687" s="7"/>
      <c r="Q687" s="62"/>
      <c r="R687" s="62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ht="19.8" x14ac:dyDescent="0.7">
      <c r="A688" s="51"/>
      <c r="B688" s="7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7"/>
      <c r="P688" s="7"/>
      <c r="Q688" s="62"/>
      <c r="R688" s="62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ht="19.8" x14ac:dyDescent="0.7">
      <c r="A689" s="51"/>
      <c r="B689" s="7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7"/>
      <c r="P689" s="7"/>
      <c r="Q689" s="62"/>
      <c r="R689" s="62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ht="19.8" x14ac:dyDescent="0.7">
      <c r="A690" s="51"/>
      <c r="B690" s="7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7"/>
      <c r="P690" s="7"/>
      <c r="Q690" s="62"/>
      <c r="R690" s="62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ht="19.8" x14ac:dyDescent="0.7">
      <c r="A691" s="51"/>
      <c r="B691" s="7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7"/>
      <c r="P691" s="7"/>
      <c r="Q691" s="62"/>
      <c r="R691" s="62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ht="19.8" x14ac:dyDescent="0.7">
      <c r="A692" s="51"/>
      <c r="B692" s="7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7"/>
      <c r="P692" s="7"/>
      <c r="Q692" s="62"/>
      <c r="R692" s="62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ht="19.8" x14ac:dyDescent="0.7">
      <c r="A693" s="51"/>
      <c r="B693" s="7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7"/>
      <c r="P693" s="7"/>
      <c r="Q693" s="62"/>
      <c r="R693" s="62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ht="19.8" x14ac:dyDescent="0.7">
      <c r="A694" s="51"/>
      <c r="B694" s="7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7"/>
      <c r="P694" s="7"/>
      <c r="Q694" s="62"/>
      <c r="R694" s="62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ht="19.8" x14ac:dyDescent="0.7">
      <c r="A695" s="51"/>
      <c r="B695" s="7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7"/>
      <c r="P695" s="7"/>
      <c r="Q695" s="62"/>
      <c r="R695" s="62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ht="19.8" x14ac:dyDescent="0.7">
      <c r="A696" s="51"/>
      <c r="B696" s="7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7"/>
      <c r="P696" s="7"/>
      <c r="Q696" s="62"/>
      <c r="R696" s="62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ht="19.8" x14ac:dyDescent="0.7">
      <c r="A697" s="51"/>
      <c r="B697" s="7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7"/>
      <c r="P697" s="7"/>
      <c r="Q697" s="62"/>
      <c r="R697" s="62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ht="19.8" x14ac:dyDescent="0.7">
      <c r="A698" s="51"/>
      <c r="B698" s="7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7"/>
      <c r="P698" s="7"/>
      <c r="Q698" s="62"/>
      <c r="R698" s="62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ht="19.8" x14ac:dyDescent="0.7">
      <c r="A699" s="51"/>
      <c r="B699" s="7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7"/>
      <c r="P699" s="7"/>
      <c r="Q699" s="62"/>
      <c r="R699" s="62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ht="19.8" x14ac:dyDescent="0.7">
      <c r="A700" s="51"/>
      <c r="B700" s="7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7"/>
      <c r="P700" s="7"/>
      <c r="Q700" s="62"/>
      <c r="R700" s="62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ht="19.8" x14ac:dyDescent="0.7">
      <c r="A701" s="51"/>
      <c r="B701" s="7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7"/>
      <c r="P701" s="7"/>
      <c r="Q701" s="62"/>
      <c r="R701" s="62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ht="19.8" x14ac:dyDescent="0.7">
      <c r="A702" s="51"/>
      <c r="B702" s="7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7"/>
      <c r="P702" s="7"/>
      <c r="Q702" s="62"/>
      <c r="R702" s="62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ht="19.8" x14ac:dyDescent="0.7">
      <c r="A703" s="51"/>
      <c r="B703" s="7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7"/>
      <c r="P703" s="7"/>
      <c r="Q703" s="62"/>
      <c r="R703" s="62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ht="19.8" x14ac:dyDescent="0.7">
      <c r="A704" s="51"/>
      <c r="B704" s="7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7"/>
      <c r="P704" s="7"/>
      <c r="Q704" s="62"/>
      <c r="R704" s="62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ht="19.8" x14ac:dyDescent="0.7">
      <c r="A705" s="51"/>
      <c r="B705" s="7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7"/>
      <c r="P705" s="7"/>
      <c r="Q705" s="62"/>
      <c r="R705" s="62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ht="19.8" x14ac:dyDescent="0.7">
      <c r="A706" s="51"/>
      <c r="B706" s="7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7"/>
      <c r="P706" s="7"/>
      <c r="Q706" s="62"/>
      <c r="R706" s="62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ht="19.8" x14ac:dyDescent="0.7">
      <c r="A707" s="51"/>
      <c r="B707" s="7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7"/>
      <c r="P707" s="7"/>
      <c r="Q707" s="62"/>
      <c r="R707" s="62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ht="19.8" x14ac:dyDescent="0.7">
      <c r="A708" s="51"/>
      <c r="B708" s="7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7"/>
      <c r="P708" s="7"/>
      <c r="Q708" s="62"/>
      <c r="R708" s="62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ht="19.8" x14ac:dyDescent="0.7">
      <c r="A709" s="51"/>
      <c r="B709" s="7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7"/>
      <c r="P709" s="7"/>
      <c r="Q709" s="62"/>
      <c r="R709" s="62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ht="19.8" x14ac:dyDescent="0.7">
      <c r="A710" s="51"/>
      <c r="B710" s="7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7"/>
      <c r="P710" s="7"/>
      <c r="Q710" s="62"/>
      <c r="R710" s="62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ht="19.8" x14ac:dyDescent="0.7">
      <c r="A711" s="51"/>
      <c r="B711" s="7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7"/>
      <c r="P711" s="7"/>
      <c r="Q711" s="62"/>
      <c r="R711" s="62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ht="19.8" x14ac:dyDescent="0.7">
      <c r="A712" s="51"/>
      <c r="B712" s="7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7"/>
      <c r="P712" s="7"/>
      <c r="Q712" s="62"/>
      <c r="R712" s="62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ht="19.8" x14ac:dyDescent="0.7">
      <c r="A713" s="51"/>
      <c r="B713" s="7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7"/>
      <c r="P713" s="7"/>
      <c r="Q713" s="62"/>
      <c r="R713" s="62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ht="19.8" x14ac:dyDescent="0.7">
      <c r="A714" s="51"/>
      <c r="B714" s="7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7"/>
      <c r="P714" s="7"/>
      <c r="Q714" s="62"/>
      <c r="R714" s="62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ht="19.8" x14ac:dyDescent="0.7">
      <c r="A715" s="51"/>
      <c r="B715" s="7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7"/>
      <c r="P715" s="7"/>
      <c r="Q715" s="62"/>
      <c r="R715" s="62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ht="19.8" x14ac:dyDescent="0.7">
      <c r="A716" s="51"/>
      <c r="B716" s="7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7"/>
      <c r="P716" s="7"/>
      <c r="Q716" s="62"/>
      <c r="R716" s="62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ht="19.8" x14ac:dyDescent="0.7">
      <c r="A717" s="51"/>
      <c r="B717" s="7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7"/>
      <c r="P717" s="7"/>
      <c r="Q717" s="62"/>
      <c r="R717" s="62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ht="19.8" x14ac:dyDescent="0.7">
      <c r="A718" s="51"/>
      <c r="B718" s="7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7"/>
      <c r="P718" s="7"/>
      <c r="Q718" s="62"/>
      <c r="R718" s="62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ht="19.8" x14ac:dyDescent="0.7">
      <c r="A719" s="51"/>
      <c r="B719" s="7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7"/>
      <c r="P719" s="7"/>
      <c r="Q719" s="62"/>
      <c r="R719" s="62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ht="19.8" x14ac:dyDescent="0.7">
      <c r="A720" s="51"/>
      <c r="B720" s="7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7"/>
      <c r="P720" s="7"/>
      <c r="Q720" s="62"/>
      <c r="R720" s="62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ht="19.8" x14ac:dyDescent="0.7">
      <c r="A721" s="51"/>
      <c r="B721" s="7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7"/>
      <c r="P721" s="7"/>
      <c r="Q721" s="62"/>
      <c r="R721" s="62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ht="19.8" x14ac:dyDescent="0.7">
      <c r="A722" s="51"/>
      <c r="B722" s="7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7"/>
      <c r="P722" s="7"/>
      <c r="Q722" s="62"/>
      <c r="R722" s="62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ht="19.8" x14ac:dyDescent="0.7">
      <c r="A723" s="51"/>
      <c r="B723" s="7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7"/>
      <c r="P723" s="7"/>
      <c r="Q723" s="62"/>
      <c r="R723" s="62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ht="19.8" x14ac:dyDescent="0.7">
      <c r="A724" s="51"/>
      <c r="B724" s="7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7"/>
      <c r="P724" s="7"/>
      <c r="Q724" s="62"/>
      <c r="R724" s="62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ht="19.8" x14ac:dyDescent="0.7">
      <c r="A725" s="51"/>
      <c r="B725" s="7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7"/>
      <c r="P725" s="7"/>
      <c r="Q725" s="62"/>
      <c r="R725" s="62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ht="19.8" x14ac:dyDescent="0.7">
      <c r="A726" s="51"/>
      <c r="B726" s="7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7"/>
      <c r="P726" s="7"/>
      <c r="Q726" s="62"/>
      <c r="R726" s="62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ht="19.8" x14ac:dyDescent="0.7">
      <c r="A727" s="51"/>
      <c r="B727" s="7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7"/>
      <c r="P727" s="7"/>
      <c r="Q727" s="62"/>
      <c r="R727" s="62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ht="19.8" x14ac:dyDescent="0.7">
      <c r="A728" s="51"/>
      <c r="B728" s="7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7"/>
      <c r="P728" s="7"/>
      <c r="Q728" s="62"/>
      <c r="R728" s="62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ht="19.8" x14ac:dyDescent="0.7">
      <c r="A729" s="51"/>
      <c r="B729" s="7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7"/>
      <c r="P729" s="7"/>
      <c r="Q729" s="62"/>
      <c r="R729" s="62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ht="19.8" x14ac:dyDescent="0.7">
      <c r="A730" s="51"/>
      <c r="B730" s="7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7"/>
      <c r="P730" s="7"/>
      <c r="Q730" s="62"/>
      <c r="R730" s="62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ht="19.8" x14ac:dyDescent="0.7">
      <c r="A731" s="51"/>
      <c r="B731" s="7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7"/>
      <c r="P731" s="7"/>
      <c r="Q731" s="62"/>
      <c r="R731" s="62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ht="19.8" x14ac:dyDescent="0.7">
      <c r="A732" s="51"/>
      <c r="B732" s="7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7"/>
      <c r="P732" s="7"/>
      <c r="Q732" s="62"/>
      <c r="R732" s="62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ht="19.8" x14ac:dyDescent="0.7">
      <c r="A733" s="51"/>
      <c r="B733" s="7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7"/>
      <c r="P733" s="7"/>
      <c r="Q733" s="62"/>
      <c r="R733" s="62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ht="19.8" x14ac:dyDescent="0.7">
      <c r="A734" s="51"/>
      <c r="B734" s="7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7"/>
      <c r="P734" s="7"/>
      <c r="Q734" s="62"/>
      <c r="R734" s="62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ht="19.8" x14ac:dyDescent="0.7">
      <c r="A735" s="51"/>
      <c r="B735" s="7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7"/>
      <c r="P735" s="7"/>
      <c r="Q735" s="62"/>
      <c r="R735" s="62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ht="19.8" x14ac:dyDescent="0.7">
      <c r="A736" s="51"/>
      <c r="B736" s="7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7"/>
      <c r="P736" s="7"/>
      <c r="Q736" s="62"/>
      <c r="R736" s="62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ht="19.8" x14ac:dyDescent="0.7">
      <c r="A737" s="51"/>
      <c r="B737" s="7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7"/>
      <c r="P737" s="7"/>
      <c r="Q737" s="62"/>
      <c r="R737" s="62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ht="19.8" x14ac:dyDescent="0.7">
      <c r="A738" s="51"/>
      <c r="B738" s="7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7"/>
      <c r="P738" s="7"/>
      <c r="Q738" s="62"/>
      <c r="R738" s="62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ht="19.8" x14ac:dyDescent="0.7">
      <c r="A739" s="51"/>
      <c r="B739" s="7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7"/>
      <c r="P739" s="7"/>
      <c r="Q739" s="62"/>
      <c r="R739" s="62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ht="19.8" x14ac:dyDescent="0.7">
      <c r="A740" s="51"/>
      <c r="B740" s="7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7"/>
      <c r="P740" s="7"/>
      <c r="Q740" s="62"/>
      <c r="R740" s="62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ht="19.8" x14ac:dyDescent="0.7">
      <c r="A741" s="51"/>
      <c r="B741" s="7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7"/>
      <c r="P741" s="7"/>
      <c r="Q741" s="62"/>
      <c r="R741" s="62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ht="19.8" x14ac:dyDescent="0.7">
      <c r="A742" s="51"/>
      <c r="B742" s="7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7"/>
      <c r="P742" s="7"/>
      <c r="Q742" s="62"/>
      <c r="R742" s="62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ht="19.8" x14ac:dyDescent="0.7">
      <c r="A743" s="51"/>
      <c r="B743" s="7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7"/>
      <c r="P743" s="7"/>
      <c r="Q743" s="62"/>
      <c r="R743" s="62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ht="19.8" x14ac:dyDescent="0.7">
      <c r="A744" s="51"/>
      <c r="B744" s="7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7"/>
      <c r="P744" s="7"/>
      <c r="Q744" s="62"/>
      <c r="R744" s="62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ht="19.8" x14ac:dyDescent="0.7">
      <c r="A745" s="51"/>
      <c r="B745" s="7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7"/>
      <c r="P745" s="7"/>
      <c r="Q745" s="62"/>
      <c r="R745" s="62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ht="19.8" x14ac:dyDescent="0.7">
      <c r="A746" s="51"/>
      <c r="B746" s="7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7"/>
      <c r="P746" s="7"/>
      <c r="Q746" s="62"/>
      <c r="R746" s="62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ht="19.8" x14ac:dyDescent="0.7">
      <c r="A747" s="51"/>
      <c r="B747" s="7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7"/>
      <c r="P747" s="7"/>
      <c r="Q747" s="62"/>
      <c r="R747" s="62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ht="19.8" x14ac:dyDescent="0.7">
      <c r="A748" s="51"/>
      <c r="B748" s="7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7"/>
      <c r="P748" s="7"/>
      <c r="Q748" s="62"/>
      <c r="R748" s="62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ht="19.8" x14ac:dyDescent="0.7">
      <c r="A749" s="51"/>
      <c r="B749" s="7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7"/>
      <c r="P749" s="7"/>
      <c r="Q749" s="62"/>
      <c r="R749" s="62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ht="19.8" x14ac:dyDescent="0.7">
      <c r="A750" s="51"/>
      <c r="B750" s="7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7"/>
      <c r="P750" s="7"/>
      <c r="Q750" s="62"/>
      <c r="R750" s="62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ht="19.8" x14ac:dyDescent="0.7">
      <c r="A751" s="51"/>
      <c r="B751" s="7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7"/>
      <c r="P751" s="7"/>
      <c r="Q751" s="62"/>
      <c r="R751" s="62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ht="19.8" x14ac:dyDescent="0.7">
      <c r="A752" s="51"/>
      <c r="B752" s="7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7"/>
      <c r="P752" s="7"/>
      <c r="Q752" s="62"/>
      <c r="R752" s="62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ht="19.8" x14ac:dyDescent="0.7">
      <c r="A753" s="51"/>
      <c r="B753" s="7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7"/>
      <c r="P753" s="7"/>
      <c r="Q753" s="62"/>
      <c r="R753" s="62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ht="19.8" x14ac:dyDescent="0.7">
      <c r="A754" s="51"/>
      <c r="B754" s="7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7"/>
      <c r="P754" s="7"/>
      <c r="Q754" s="62"/>
      <c r="R754" s="62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ht="19.8" x14ac:dyDescent="0.7">
      <c r="A755" s="51"/>
      <c r="B755" s="7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7"/>
      <c r="P755" s="7"/>
      <c r="Q755" s="62"/>
      <c r="R755" s="62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ht="19.8" x14ac:dyDescent="0.7">
      <c r="A756" s="51"/>
      <c r="B756" s="7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7"/>
      <c r="P756" s="7"/>
      <c r="Q756" s="62"/>
      <c r="R756" s="62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ht="19.8" x14ac:dyDescent="0.7">
      <c r="A757" s="51"/>
      <c r="B757" s="7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7"/>
      <c r="P757" s="7"/>
      <c r="Q757" s="62"/>
      <c r="R757" s="62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ht="19.8" x14ac:dyDescent="0.7">
      <c r="A758" s="51"/>
      <c r="B758" s="7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7"/>
      <c r="P758" s="7"/>
      <c r="Q758" s="62"/>
      <c r="R758" s="62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ht="19.8" x14ac:dyDescent="0.7">
      <c r="A759" s="51"/>
      <c r="B759" s="7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7"/>
      <c r="P759" s="7"/>
      <c r="Q759" s="62"/>
      <c r="R759" s="62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ht="19.8" x14ac:dyDescent="0.7">
      <c r="A760" s="51"/>
      <c r="B760" s="7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7"/>
      <c r="P760" s="7"/>
      <c r="Q760" s="62"/>
      <c r="R760" s="62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ht="19.8" x14ac:dyDescent="0.7">
      <c r="A761" s="51"/>
      <c r="B761" s="7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7"/>
      <c r="P761" s="7"/>
      <c r="Q761" s="62"/>
      <c r="R761" s="62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ht="19.8" x14ac:dyDescent="0.7">
      <c r="A762" s="51"/>
      <c r="B762" s="7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7"/>
      <c r="P762" s="7"/>
      <c r="Q762" s="62"/>
      <c r="R762" s="62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ht="19.8" x14ac:dyDescent="0.7">
      <c r="A763" s="51"/>
      <c r="B763" s="7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7"/>
      <c r="P763" s="7"/>
      <c r="Q763" s="62"/>
      <c r="R763" s="62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ht="19.8" x14ac:dyDescent="0.7">
      <c r="A764" s="51"/>
      <c r="B764" s="7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7"/>
      <c r="P764" s="7"/>
      <c r="Q764" s="62"/>
      <c r="R764" s="62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ht="19.8" x14ac:dyDescent="0.7">
      <c r="A765" s="51"/>
      <c r="B765" s="7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7"/>
      <c r="P765" s="7"/>
      <c r="Q765" s="62"/>
      <c r="R765" s="62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ht="19.8" x14ac:dyDescent="0.7">
      <c r="A766" s="51"/>
      <c r="B766" s="7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7"/>
      <c r="P766" s="7"/>
      <c r="Q766" s="62"/>
      <c r="R766" s="62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ht="19.8" x14ac:dyDescent="0.7">
      <c r="A767" s="51"/>
      <c r="B767" s="7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7"/>
      <c r="P767" s="7"/>
      <c r="Q767" s="62"/>
      <c r="R767" s="62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ht="19.8" x14ac:dyDescent="0.7">
      <c r="A768" s="51"/>
      <c r="B768" s="7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7"/>
      <c r="P768" s="7"/>
      <c r="Q768" s="62"/>
      <c r="R768" s="62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ht="19.8" x14ac:dyDescent="0.7">
      <c r="A769" s="51"/>
      <c r="B769" s="7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7"/>
      <c r="P769" s="7"/>
      <c r="Q769" s="62"/>
      <c r="R769" s="62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ht="19.8" x14ac:dyDescent="0.7">
      <c r="A770" s="51"/>
      <c r="B770" s="7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7"/>
      <c r="P770" s="7"/>
      <c r="Q770" s="62"/>
      <c r="R770" s="62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ht="19.8" x14ac:dyDescent="0.7">
      <c r="A771" s="51"/>
      <c r="B771" s="7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7"/>
      <c r="P771" s="7"/>
      <c r="Q771" s="62"/>
      <c r="R771" s="62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ht="19.8" x14ac:dyDescent="0.7">
      <c r="A772" s="51"/>
      <c r="B772" s="7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7"/>
      <c r="P772" s="7"/>
      <c r="Q772" s="62"/>
      <c r="R772" s="62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ht="19.8" x14ac:dyDescent="0.7">
      <c r="A773" s="51"/>
      <c r="B773" s="7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7"/>
      <c r="P773" s="7"/>
      <c r="Q773" s="62"/>
      <c r="R773" s="62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ht="19.8" x14ac:dyDescent="0.7">
      <c r="A774" s="51"/>
      <c r="B774" s="7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7"/>
      <c r="P774" s="7"/>
      <c r="Q774" s="62"/>
      <c r="R774" s="62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ht="19.8" x14ac:dyDescent="0.7">
      <c r="A775" s="51"/>
      <c r="B775" s="7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7"/>
      <c r="P775" s="7"/>
      <c r="Q775" s="62"/>
      <c r="R775" s="62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ht="19.8" x14ac:dyDescent="0.7">
      <c r="A776" s="51"/>
      <c r="B776" s="7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7"/>
      <c r="P776" s="7"/>
      <c r="Q776" s="62"/>
      <c r="R776" s="62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ht="19.8" x14ac:dyDescent="0.7">
      <c r="A777" s="51"/>
      <c r="B777" s="7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7"/>
      <c r="P777" s="7"/>
      <c r="Q777" s="62"/>
      <c r="R777" s="62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ht="19.8" x14ac:dyDescent="0.7">
      <c r="A778" s="51"/>
      <c r="B778" s="7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7"/>
      <c r="P778" s="7"/>
      <c r="Q778" s="62"/>
      <c r="R778" s="62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ht="19.8" x14ac:dyDescent="0.7">
      <c r="A779" s="51"/>
      <c r="B779" s="7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7"/>
      <c r="P779" s="7"/>
      <c r="Q779" s="62"/>
      <c r="R779" s="62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ht="19.8" x14ac:dyDescent="0.7">
      <c r="A780" s="51"/>
      <c r="B780" s="7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7"/>
      <c r="P780" s="7"/>
      <c r="Q780" s="62"/>
      <c r="R780" s="62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ht="19.8" x14ac:dyDescent="0.7">
      <c r="A781" s="51"/>
      <c r="B781" s="7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7"/>
      <c r="P781" s="7"/>
      <c r="Q781" s="62"/>
      <c r="R781" s="62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ht="19.8" x14ac:dyDescent="0.7">
      <c r="A782" s="51"/>
      <c r="B782" s="7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7"/>
      <c r="P782" s="7"/>
      <c r="Q782" s="62"/>
      <c r="R782" s="62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ht="19.8" x14ac:dyDescent="0.7">
      <c r="A783" s="51"/>
      <c r="B783" s="7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7"/>
      <c r="P783" s="7"/>
      <c r="Q783" s="62"/>
      <c r="R783" s="62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ht="19.8" x14ac:dyDescent="0.7">
      <c r="A784" s="51"/>
      <c r="B784" s="7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7"/>
      <c r="P784" s="7"/>
      <c r="Q784" s="62"/>
      <c r="R784" s="62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ht="19.8" x14ac:dyDescent="0.7">
      <c r="A785" s="51"/>
      <c r="B785" s="7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7"/>
      <c r="P785" s="7"/>
      <c r="Q785" s="62"/>
      <c r="R785" s="62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ht="19.8" x14ac:dyDescent="0.7">
      <c r="A786" s="51"/>
      <c r="B786" s="7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7"/>
      <c r="P786" s="7"/>
      <c r="Q786" s="62"/>
      <c r="R786" s="62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ht="19.8" x14ac:dyDescent="0.7">
      <c r="A787" s="51"/>
      <c r="B787" s="7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7"/>
      <c r="P787" s="7"/>
      <c r="Q787" s="62"/>
      <c r="R787" s="62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ht="19.8" x14ac:dyDescent="0.7">
      <c r="A788" s="51"/>
      <c r="B788" s="7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7"/>
      <c r="P788" s="7"/>
      <c r="Q788" s="62"/>
      <c r="R788" s="62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ht="19.8" x14ac:dyDescent="0.7">
      <c r="A789" s="51"/>
      <c r="B789" s="7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7"/>
      <c r="P789" s="7"/>
      <c r="Q789" s="62"/>
      <c r="R789" s="62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ht="19.8" x14ac:dyDescent="0.7">
      <c r="A790" s="51"/>
      <c r="B790" s="7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7"/>
      <c r="P790" s="7"/>
      <c r="Q790" s="62"/>
      <c r="R790" s="62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ht="19.8" x14ac:dyDescent="0.7">
      <c r="A791" s="51"/>
      <c r="B791" s="7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7"/>
      <c r="P791" s="7"/>
      <c r="Q791" s="62"/>
      <c r="R791" s="62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ht="19.8" x14ac:dyDescent="0.7">
      <c r="A792" s="51"/>
      <c r="B792" s="7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7"/>
      <c r="P792" s="7"/>
      <c r="Q792" s="62"/>
      <c r="R792" s="62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ht="19.8" x14ac:dyDescent="0.7">
      <c r="A793" s="51"/>
      <c r="B793" s="7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7"/>
      <c r="P793" s="7"/>
      <c r="Q793" s="62"/>
      <c r="R793" s="62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ht="19.8" x14ac:dyDescent="0.7">
      <c r="A794" s="51"/>
      <c r="B794" s="7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7"/>
      <c r="P794" s="7"/>
      <c r="Q794" s="62"/>
      <c r="R794" s="62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ht="19.8" x14ac:dyDescent="0.7">
      <c r="A795" s="51"/>
      <c r="B795" s="7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7"/>
      <c r="P795" s="7"/>
      <c r="Q795" s="62"/>
      <c r="R795" s="62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ht="19.8" x14ac:dyDescent="0.7">
      <c r="A796" s="51"/>
      <c r="B796" s="7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7"/>
      <c r="P796" s="7"/>
      <c r="Q796" s="62"/>
      <c r="R796" s="62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ht="19.8" x14ac:dyDescent="0.7">
      <c r="A797" s="51"/>
      <c r="B797" s="7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7"/>
      <c r="P797" s="7"/>
      <c r="Q797" s="62"/>
      <c r="R797" s="62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ht="19.8" x14ac:dyDescent="0.7">
      <c r="A798" s="51"/>
      <c r="B798" s="7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7"/>
      <c r="P798" s="7"/>
      <c r="Q798" s="62"/>
      <c r="R798" s="62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ht="19.8" x14ac:dyDescent="0.7">
      <c r="A799" s="51"/>
      <c r="B799" s="7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7"/>
      <c r="P799" s="7"/>
      <c r="Q799" s="62"/>
      <c r="R799" s="62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ht="19.8" x14ac:dyDescent="0.7">
      <c r="A800" s="51"/>
      <c r="B800" s="7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7"/>
      <c r="P800" s="7"/>
      <c r="Q800" s="62"/>
      <c r="R800" s="62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ht="19.8" x14ac:dyDescent="0.7">
      <c r="A801" s="51"/>
      <c r="B801" s="7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7"/>
      <c r="P801" s="7"/>
      <c r="Q801" s="62"/>
      <c r="R801" s="62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ht="19.8" x14ac:dyDescent="0.7">
      <c r="A802" s="51"/>
      <c r="B802" s="7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7"/>
      <c r="P802" s="7"/>
      <c r="Q802" s="62"/>
      <c r="R802" s="62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ht="19.8" x14ac:dyDescent="0.7">
      <c r="A803" s="51"/>
      <c r="B803" s="7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7"/>
      <c r="P803" s="7"/>
      <c r="Q803" s="62"/>
      <c r="R803" s="62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ht="19.8" x14ac:dyDescent="0.7">
      <c r="A804" s="51"/>
      <c r="B804" s="7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7"/>
      <c r="P804" s="7"/>
      <c r="Q804" s="62"/>
      <c r="R804" s="62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ht="19.8" x14ac:dyDescent="0.7">
      <c r="A805" s="51"/>
      <c r="B805" s="7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7"/>
      <c r="P805" s="7"/>
      <c r="Q805" s="62"/>
      <c r="R805" s="62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ht="19.8" x14ac:dyDescent="0.7">
      <c r="A806" s="51"/>
      <c r="B806" s="7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7"/>
      <c r="P806" s="7"/>
      <c r="Q806" s="62"/>
      <c r="R806" s="62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ht="19.8" x14ac:dyDescent="0.7">
      <c r="A807" s="51"/>
      <c r="B807" s="7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7"/>
      <c r="P807" s="7"/>
      <c r="Q807" s="62"/>
      <c r="R807" s="62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ht="19.8" x14ac:dyDescent="0.7">
      <c r="A808" s="51"/>
      <c r="B808" s="7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7"/>
      <c r="P808" s="7"/>
      <c r="Q808" s="62"/>
      <c r="R808" s="62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ht="19.8" x14ac:dyDescent="0.7">
      <c r="A809" s="51"/>
      <c r="B809" s="7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7"/>
      <c r="P809" s="7"/>
      <c r="Q809" s="62"/>
      <c r="R809" s="62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ht="19.8" x14ac:dyDescent="0.7">
      <c r="A810" s="51"/>
      <c r="B810" s="7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7"/>
      <c r="P810" s="7"/>
      <c r="Q810" s="62"/>
      <c r="R810" s="62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ht="19.8" x14ac:dyDescent="0.7">
      <c r="A811" s="51"/>
      <c r="B811" s="7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7"/>
      <c r="P811" s="7"/>
      <c r="Q811" s="62"/>
      <c r="R811" s="62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ht="19.8" x14ac:dyDescent="0.7">
      <c r="A812" s="51"/>
      <c r="B812" s="7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7"/>
      <c r="P812" s="7"/>
      <c r="Q812" s="62"/>
      <c r="R812" s="62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ht="19.8" x14ac:dyDescent="0.7">
      <c r="A813" s="51"/>
      <c r="B813" s="7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7"/>
      <c r="P813" s="7"/>
      <c r="Q813" s="62"/>
      <c r="R813" s="62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ht="19.8" x14ac:dyDescent="0.7">
      <c r="A814" s="51"/>
      <c r="B814" s="7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7"/>
      <c r="P814" s="7"/>
      <c r="Q814" s="62"/>
      <c r="R814" s="62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ht="19.8" x14ac:dyDescent="0.7">
      <c r="A815" s="51"/>
      <c r="B815" s="7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7"/>
      <c r="P815" s="7"/>
      <c r="Q815" s="62"/>
      <c r="R815" s="62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ht="19.8" x14ac:dyDescent="0.7">
      <c r="A816" s="51"/>
      <c r="B816" s="7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7"/>
      <c r="P816" s="7"/>
      <c r="Q816" s="62"/>
      <c r="R816" s="62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ht="19.8" x14ac:dyDescent="0.7">
      <c r="A817" s="51"/>
      <c r="B817" s="7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7"/>
      <c r="P817" s="7"/>
      <c r="Q817" s="62"/>
      <c r="R817" s="62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ht="19.8" x14ac:dyDescent="0.7">
      <c r="A818" s="51"/>
      <c r="B818" s="7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7"/>
      <c r="P818" s="7"/>
      <c r="Q818" s="62"/>
      <c r="R818" s="62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ht="19.8" x14ac:dyDescent="0.7">
      <c r="A819" s="51"/>
      <c r="B819" s="7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7"/>
      <c r="P819" s="7"/>
      <c r="Q819" s="62"/>
      <c r="R819" s="62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ht="19.8" x14ac:dyDescent="0.7">
      <c r="A820" s="51"/>
      <c r="B820" s="7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7"/>
      <c r="P820" s="7"/>
      <c r="Q820" s="62"/>
      <c r="R820" s="62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ht="19.8" x14ac:dyDescent="0.7">
      <c r="A821" s="51"/>
      <c r="B821" s="7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7"/>
      <c r="P821" s="7"/>
      <c r="Q821" s="62"/>
      <c r="R821" s="62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ht="19.8" x14ac:dyDescent="0.7">
      <c r="A822" s="51"/>
      <c r="B822" s="7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7"/>
      <c r="P822" s="7"/>
      <c r="Q822" s="62"/>
      <c r="R822" s="62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ht="19.8" x14ac:dyDescent="0.7">
      <c r="A823" s="51"/>
      <c r="B823" s="7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7"/>
      <c r="P823" s="7"/>
      <c r="Q823" s="62"/>
      <c r="R823" s="62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ht="19.8" x14ac:dyDescent="0.7">
      <c r="A824" s="51"/>
      <c r="B824" s="7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7"/>
      <c r="P824" s="7"/>
      <c r="Q824" s="62"/>
      <c r="R824" s="62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ht="19.8" x14ac:dyDescent="0.7">
      <c r="A825" s="51"/>
      <c r="B825" s="7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7"/>
      <c r="P825" s="7"/>
      <c r="Q825" s="62"/>
      <c r="R825" s="62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ht="19.8" x14ac:dyDescent="0.7">
      <c r="A826" s="51"/>
      <c r="B826" s="7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7"/>
      <c r="P826" s="7"/>
      <c r="Q826" s="62"/>
      <c r="R826" s="62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ht="19.8" x14ac:dyDescent="0.7">
      <c r="A827" s="51"/>
      <c r="B827" s="7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7"/>
      <c r="P827" s="7"/>
      <c r="Q827" s="62"/>
      <c r="R827" s="62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ht="19.8" x14ac:dyDescent="0.7">
      <c r="A828" s="51"/>
      <c r="B828" s="7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7"/>
      <c r="P828" s="7"/>
      <c r="Q828" s="62"/>
      <c r="R828" s="62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ht="19.8" x14ac:dyDescent="0.7">
      <c r="A829" s="51"/>
      <c r="B829" s="7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7"/>
      <c r="P829" s="7"/>
      <c r="Q829" s="62"/>
      <c r="R829" s="62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ht="19.8" x14ac:dyDescent="0.7">
      <c r="A830" s="51"/>
      <c r="B830" s="7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7"/>
      <c r="P830" s="7"/>
      <c r="Q830" s="62"/>
      <c r="R830" s="62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ht="19.8" x14ac:dyDescent="0.7">
      <c r="A831" s="51"/>
      <c r="B831" s="7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7"/>
      <c r="P831" s="7"/>
      <c r="Q831" s="62"/>
      <c r="R831" s="62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ht="19.8" x14ac:dyDescent="0.7">
      <c r="A832" s="51"/>
      <c r="B832" s="7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7"/>
      <c r="P832" s="7"/>
      <c r="Q832" s="62"/>
      <c r="R832" s="62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ht="19.8" x14ac:dyDescent="0.7">
      <c r="A833" s="51"/>
      <c r="B833" s="7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7"/>
      <c r="P833" s="7"/>
      <c r="Q833" s="62"/>
      <c r="R833" s="62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ht="19.8" x14ac:dyDescent="0.7">
      <c r="A834" s="51"/>
      <c r="B834" s="7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7"/>
      <c r="P834" s="7"/>
      <c r="Q834" s="62"/>
      <c r="R834" s="62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ht="19.8" x14ac:dyDescent="0.7">
      <c r="A835" s="51"/>
      <c r="B835" s="7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7"/>
      <c r="P835" s="7"/>
      <c r="Q835" s="62"/>
      <c r="R835" s="62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ht="19.8" x14ac:dyDescent="0.7">
      <c r="A836" s="51"/>
      <c r="B836" s="7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7"/>
      <c r="P836" s="7"/>
      <c r="Q836" s="62"/>
      <c r="R836" s="62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ht="19.8" x14ac:dyDescent="0.7">
      <c r="A837" s="51"/>
      <c r="B837" s="7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7"/>
      <c r="P837" s="7"/>
      <c r="Q837" s="62"/>
      <c r="R837" s="62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ht="19.8" x14ac:dyDescent="0.7">
      <c r="A838" s="51"/>
      <c r="B838" s="7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7"/>
      <c r="P838" s="7"/>
      <c r="Q838" s="62"/>
      <c r="R838" s="62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ht="19.8" x14ac:dyDescent="0.7">
      <c r="A839" s="51"/>
      <c r="B839" s="7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7"/>
      <c r="P839" s="7"/>
      <c r="Q839" s="62"/>
      <c r="R839" s="62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ht="19.8" x14ac:dyDescent="0.7">
      <c r="A840" s="51"/>
      <c r="B840" s="7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7"/>
      <c r="P840" s="7"/>
      <c r="Q840" s="62"/>
      <c r="R840" s="62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ht="19.8" x14ac:dyDescent="0.7">
      <c r="A841" s="51"/>
      <c r="B841" s="7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7"/>
      <c r="P841" s="7"/>
      <c r="Q841" s="62"/>
      <c r="R841" s="62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ht="19.8" x14ac:dyDescent="0.7">
      <c r="A842" s="51"/>
      <c r="B842" s="7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7"/>
      <c r="P842" s="7"/>
      <c r="Q842" s="62"/>
      <c r="R842" s="62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ht="19.8" x14ac:dyDescent="0.7">
      <c r="A843" s="51"/>
      <c r="B843" s="7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7"/>
      <c r="P843" s="7"/>
      <c r="Q843" s="62"/>
      <c r="R843" s="62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ht="19.8" x14ac:dyDescent="0.7">
      <c r="A844" s="51"/>
      <c r="B844" s="7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7"/>
      <c r="P844" s="7"/>
      <c r="Q844" s="62"/>
      <c r="R844" s="62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ht="19.8" x14ac:dyDescent="0.7">
      <c r="A845" s="51"/>
      <c r="B845" s="7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7"/>
      <c r="P845" s="7"/>
      <c r="Q845" s="62"/>
      <c r="R845" s="62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ht="19.8" x14ac:dyDescent="0.7">
      <c r="A846" s="51"/>
      <c r="B846" s="7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7"/>
      <c r="P846" s="7"/>
      <c r="Q846" s="62"/>
      <c r="R846" s="62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ht="19.8" x14ac:dyDescent="0.7">
      <c r="A847" s="51"/>
      <c r="B847" s="7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7"/>
      <c r="P847" s="7"/>
      <c r="Q847" s="62"/>
      <c r="R847" s="62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ht="19.8" x14ac:dyDescent="0.7">
      <c r="A848" s="51"/>
      <c r="B848" s="7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7"/>
      <c r="P848" s="7"/>
      <c r="Q848" s="62"/>
      <c r="R848" s="62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ht="19.8" x14ac:dyDescent="0.7">
      <c r="A849" s="51"/>
      <c r="B849" s="7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7"/>
      <c r="P849" s="7"/>
      <c r="Q849" s="62"/>
      <c r="R849" s="62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ht="19.8" x14ac:dyDescent="0.7">
      <c r="A850" s="51"/>
      <c r="B850" s="7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7"/>
      <c r="P850" s="7"/>
      <c r="Q850" s="62"/>
      <c r="R850" s="62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ht="19.8" x14ac:dyDescent="0.7">
      <c r="A851" s="51"/>
      <c r="B851" s="7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7"/>
      <c r="P851" s="7"/>
      <c r="Q851" s="62"/>
      <c r="R851" s="62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ht="19.8" x14ac:dyDescent="0.7">
      <c r="A852" s="51"/>
      <c r="B852" s="7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7"/>
      <c r="P852" s="7"/>
      <c r="Q852" s="62"/>
      <c r="R852" s="62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ht="19.8" x14ac:dyDescent="0.7">
      <c r="A853" s="51"/>
      <c r="B853" s="7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7"/>
      <c r="P853" s="7"/>
      <c r="Q853" s="62"/>
      <c r="R853" s="62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ht="19.8" x14ac:dyDescent="0.7">
      <c r="A854" s="51"/>
      <c r="B854" s="7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7"/>
      <c r="P854" s="7"/>
      <c r="Q854" s="62"/>
      <c r="R854" s="62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ht="19.8" x14ac:dyDescent="0.7">
      <c r="A855" s="51"/>
      <c r="B855" s="7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7"/>
      <c r="P855" s="7"/>
      <c r="Q855" s="62"/>
      <c r="R855" s="62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ht="19.8" x14ac:dyDescent="0.7">
      <c r="A856" s="51"/>
      <c r="B856" s="7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7"/>
      <c r="P856" s="7"/>
      <c r="Q856" s="62"/>
      <c r="R856" s="62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ht="19.8" x14ac:dyDescent="0.7">
      <c r="A857" s="51"/>
      <c r="B857" s="7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7"/>
      <c r="P857" s="7"/>
      <c r="Q857" s="62"/>
      <c r="R857" s="62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ht="19.8" x14ac:dyDescent="0.7">
      <c r="A858" s="51"/>
      <c r="B858" s="7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7"/>
      <c r="P858" s="7"/>
      <c r="Q858" s="62"/>
      <c r="R858" s="62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ht="19.8" x14ac:dyDescent="0.7">
      <c r="A859" s="51"/>
      <c r="B859" s="7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7"/>
      <c r="P859" s="7"/>
      <c r="Q859" s="62"/>
      <c r="R859" s="62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ht="19.8" x14ac:dyDescent="0.7">
      <c r="A860" s="51"/>
      <c r="B860" s="7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7"/>
      <c r="P860" s="7"/>
      <c r="Q860" s="62"/>
      <c r="R860" s="62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ht="19.8" x14ac:dyDescent="0.7">
      <c r="A861" s="51"/>
      <c r="B861" s="7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7"/>
      <c r="P861" s="7"/>
      <c r="Q861" s="62"/>
      <c r="R861" s="62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ht="19.8" x14ac:dyDescent="0.7">
      <c r="A862" s="51"/>
      <c r="B862" s="7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7"/>
      <c r="P862" s="7"/>
      <c r="Q862" s="62"/>
      <c r="R862" s="62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ht="19.8" x14ac:dyDescent="0.7">
      <c r="A863" s="51"/>
      <c r="B863" s="7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7"/>
      <c r="P863" s="7"/>
      <c r="Q863" s="62"/>
      <c r="R863" s="62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ht="19.8" x14ac:dyDescent="0.7">
      <c r="A864" s="51"/>
      <c r="B864" s="7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7"/>
      <c r="P864" s="7"/>
      <c r="Q864" s="62"/>
      <c r="R864" s="62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ht="19.8" x14ac:dyDescent="0.7">
      <c r="A865" s="51"/>
      <c r="B865" s="7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7"/>
      <c r="P865" s="7"/>
      <c r="Q865" s="62"/>
      <c r="R865" s="62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ht="19.8" x14ac:dyDescent="0.7">
      <c r="A866" s="51"/>
      <c r="B866" s="7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7"/>
      <c r="P866" s="7"/>
      <c r="Q866" s="62"/>
      <c r="R866" s="62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ht="19.8" x14ac:dyDescent="0.7">
      <c r="A867" s="51"/>
      <c r="B867" s="7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7"/>
      <c r="P867" s="7"/>
      <c r="Q867" s="62"/>
      <c r="R867" s="62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ht="19.8" x14ac:dyDescent="0.7">
      <c r="A868" s="51"/>
      <c r="B868" s="7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7"/>
      <c r="P868" s="7"/>
      <c r="Q868" s="62"/>
      <c r="R868" s="62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ht="19.8" x14ac:dyDescent="0.7">
      <c r="A869" s="51"/>
      <c r="B869" s="7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7"/>
      <c r="P869" s="7"/>
      <c r="Q869" s="62"/>
      <c r="R869" s="62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ht="19.8" x14ac:dyDescent="0.7">
      <c r="A870" s="51"/>
      <c r="B870" s="7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7"/>
      <c r="P870" s="7"/>
      <c r="Q870" s="62"/>
      <c r="R870" s="62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ht="19.8" x14ac:dyDescent="0.7">
      <c r="A871" s="51"/>
      <c r="B871" s="7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7"/>
      <c r="P871" s="7"/>
      <c r="Q871" s="62"/>
      <c r="R871" s="62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ht="19.8" x14ac:dyDescent="0.7">
      <c r="A872" s="51"/>
      <c r="B872" s="7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7"/>
      <c r="P872" s="7"/>
      <c r="Q872" s="62"/>
      <c r="R872" s="62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ht="19.8" x14ac:dyDescent="0.7">
      <c r="A873" s="51"/>
      <c r="B873" s="7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7"/>
      <c r="P873" s="7"/>
      <c r="Q873" s="62"/>
      <c r="R873" s="62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ht="19.8" x14ac:dyDescent="0.7">
      <c r="A874" s="51"/>
      <c r="B874" s="7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7"/>
      <c r="P874" s="7"/>
      <c r="Q874" s="62"/>
      <c r="R874" s="62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ht="19.8" x14ac:dyDescent="0.7">
      <c r="A875" s="51"/>
      <c r="B875" s="7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7"/>
      <c r="P875" s="7"/>
      <c r="Q875" s="62"/>
      <c r="R875" s="62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ht="19.8" x14ac:dyDescent="0.7">
      <c r="A876" s="51"/>
      <c r="B876" s="7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7"/>
      <c r="P876" s="7"/>
      <c r="Q876" s="62"/>
      <c r="R876" s="62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ht="19.8" x14ac:dyDescent="0.7">
      <c r="A877" s="51"/>
      <c r="B877" s="7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7"/>
      <c r="P877" s="7"/>
      <c r="Q877" s="62"/>
      <c r="R877" s="62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ht="19.8" x14ac:dyDescent="0.7">
      <c r="A878" s="51"/>
      <c r="B878" s="7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7"/>
      <c r="P878" s="7"/>
      <c r="Q878" s="62"/>
      <c r="R878" s="62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ht="19.8" x14ac:dyDescent="0.7">
      <c r="A879" s="51"/>
      <c r="B879" s="7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7"/>
      <c r="P879" s="7"/>
      <c r="Q879" s="62"/>
      <c r="R879" s="62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ht="19.8" x14ac:dyDescent="0.7">
      <c r="A880" s="51"/>
      <c r="B880" s="7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7"/>
      <c r="P880" s="7"/>
      <c r="Q880" s="62"/>
      <c r="R880" s="62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ht="19.8" x14ac:dyDescent="0.7">
      <c r="A881" s="51"/>
      <c r="B881" s="7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7"/>
      <c r="P881" s="7"/>
      <c r="Q881" s="62"/>
      <c r="R881" s="62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ht="19.8" x14ac:dyDescent="0.7">
      <c r="A882" s="51"/>
      <c r="B882" s="7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7"/>
      <c r="P882" s="7"/>
      <c r="Q882" s="62"/>
      <c r="R882" s="62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ht="19.8" x14ac:dyDescent="0.7">
      <c r="A883" s="51"/>
      <c r="B883" s="7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7"/>
      <c r="P883" s="7"/>
      <c r="Q883" s="62"/>
      <c r="R883" s="62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ht="19.8" x14ac:dyDescent="0.7">
      <c r="A884" s="51"/>
      <c r="B884" s="7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7"/>
      <c r="P884" s="7"/>
      <c r="Q884" s="62"/>
      <c r="R884" s="62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ht="19.8" x14ac:dyDescent="0.7">
      <c r="A885" s="51"/>
      <c r="B885" s="7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7"/>
      <c r="P885" s="7"/>
      <c r="Q885" s="62"/>
      <c r="R885" s="62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ht="19.8" x14ac:dyDescent="0.7">
      <c r="A886" s="51"/>
      <c r="B886" s="7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7"/>
      <c r="P886" s="7"/>
      <c r="Q886" s="62"/>
      <c r="R886" s="62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ht="19.8" x14ac:dyDescent="0.7">
      <c r="A887" s="51"/>
      <c r="B887" s="7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7"/>
      <c r="P887" s="7"/>
      <c r="Q887" s="62"/>
      <c r="R887" s="62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ht="19.8" x14ac:dyDescent="0.7">
      <c r="A888" s="51"/>
      <c r="B888" s="7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7"/>
      <c r="P888" s="7"/>
      <c r="Q888" s="62"/>
      <c r="R888" s="62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ht="19.8" x14ac:dyDescent="0.7">
      <c r="A889" s="51"/>
      <c r="B889" s="7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7"/>
      <c r="P889" s="7"/>
      <c r="Q889" s="62"/>
      <c r="R889" s="62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ht="19.8" x14ac:dyDescent="0.7">
      <c r="A890" s="51"/>
      <c r="B890" s="7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7"/>
      <c r="P890" s="7"/>
      <c r="Q890" s="62"/>
      <c r="R890" s="62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ht="19.8" x14ac:dyDescent="0.7">
      <c r="A891" s="51"/>
      <c r="B891" s="7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7"/>
      <c r="P891" s="7"/>
      <c r="Q891" s="62"/>
      <c r="R891" s="62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ht="19.8" x14ac:dyDescent="0.7">
      <c r="A892" s="51"/>
      <c r="B892" s="7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7"/>
      <c r="P892" s="7"/>
      <c r="Q892" s="62"/>
      <c r="R892" s="62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ht="19.8" x14ac:dyDescent="0.7">
      <c r="A893" s="51"/>
      <c r="B893" s="7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7"/>
      <c r="P893" s="7"/>
      <c r="Q893" s="62"/>
      <c r="R893" s="62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ht="19.8" x14ac:dyDescent="0.7">
      <c r="A894" s="51"/>
      <c r="B894" s="7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7"/>
      <c r="P894" s="7"/>
      <c r="Q894" s="62"/>
      <c r="R894" s="62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ht="19.8" x14ac:dyDescent="0.7">
      <c r="A895" s="51"/>
      <c r="B895" s="7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7"/>
      <c r="P895" s="7"/>
      <c r="Q895" s="62"/>
      <c r="R895" s="62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ht="19.8" x14ac:dyDescent="0.7">
      <c r="A896" s="51"/>
      <c r="B896" s="7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7"/>
      <c r="P896" s="7"/>
      <c r="Q896" s="62"/>
      <c r="R896" s="62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ht="19.8" x14ac:dyDescent="0.7">
      <c r="A897" s="51"/>
      <c r="B897" s="7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7"/>
      <c r="P897" s="7"/>
      <c r="Q897" s="62"/>
      <c r="R897" s="62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ht="19.8" x14ac:dyDescent="0.7">
      <c r="A898" s="51"/>
      <c r="B898" s="7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7"/>
      <c r="P898" s="7"/>
      <c r="Q898" s="62"/>
      <c r="R898" s="62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ht="19.8" x14ac:dyDescent="0.7">
      <c r="A899" s="51"/>
      <c r="B899" s="7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7"/>
      <c r="P899" s="7"/>
      <c r="Q899" s="62"/>
      <c r="R899" s="62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ht="19.8" x14ac:dyDescent="0.7">
      <c r="A900" s="51"/>
      <c r="B900" s="7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7"/>
      <c r="P900" s="7"/>
      <c r="Q900" s="62"/>
      <c r="R900" s="62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ht="19.8" x14ac:dyDescent="0.7">
      <c r="A901" s="51"/>
      <c r="B901" s="7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7"/>
      <c r="P901" s="7"/>
      <c r="Q901" s="62"/>
      <c r="R901" s="62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ht="19.8" x14ac:dyDescent="0.7">
      <c r="A902" s="51"/>
      <c r="B902" s="7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7"/>
      <c r="P902" s="7"/>
      <c r="Q902" s="62"/>
      <c r="R902" s="62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ht="19.8" x14ac:dyDescent="0.7">
      <c r="A903" s="51"/>
      <c r="B903" s="7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7"/>
      <c r="P903" s="7"/>
      <c r="Q903" s="62"/>
      <c r="R903" s="62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ht="19.8" x14ac:dyDescent="0.7">
      <c r="A904" s="51"/>
      <c r="B904" s="7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7"/>
      <c r="P904" s="7"/>
      <c r="Q904" s="62"/>
      <c r="R904" s="62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ht="19.8" x14ac:dyDescent="0.7">
      <c r="A905" s="51"/>
      <c r="B905" s="7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7"/>
      <c r="P905" s="7"/>
      <c r="Q905" s="62"/>
      <c r="R905" s="62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ht="19.8" x14ac:dyDescent="0.7">
      <c r="A906" s="51"/>
      <c r="B906" s="7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7"/>
      <c r="P906" s="7"/>
      <c r="Q906" s="62"/>
      <c r="R906" s="62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ht="19.8" x14ac:dyDescent="0.7">
      <c r="A907" s="51"/>
      <c r="B907" s="7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7"/>
      <c r="P907" s="7"/>
      <c r="Q907" s="62"/>
      <c r="R907" s="62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ht="19.8" x14ac:dyDescent="0.7">
      <c r="A908" s="51"/>
      <c r="B908" s="7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7"/>
      <c r="P908" s="7"/>
      <c r="Q908" s="62"/>
      <c r="R908" s="62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ht="19.8" x14ac:dyDescent="0.7">
      <c r="A909" s="51"/>
      <c r="B909" s="7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7"/>
      <c r="P909" s="7"/>
      <c r="Q909" s="62"/>
      <c r="R909" s="62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ht="19.8" x14ac:dyDescent="0.7">
      <c r="A910" s="51"/>
      <c r="B910" s="7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7"/>
      <c r="P910" s="7"/>
      <c r="Q910" s="62"/>
      <c r="R910" s="62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ht="19.8" x14ac:dyDescent="0.7">
      <c r="A911" s="51"/>
      <c r="B911" s="7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7"/>
      <c r="P911" s="7"/>
      <c r="Q911" s="62"/>
      <c r="R911" s="62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ht="19.8" x14ac:dyDescent="0.7">
      <c r="A912" s="51"/>
      <c r="B912" s="7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7"/>
      <c r="P912" s="7"/>
      <c r="Q912" s="62"/>
      <c r="R912" s="62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ht="19.8" x14ac:dyDescent="0.7">
      <c r="A913" s="51"/>
      <c r="B913" s="7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7"/>
      <c r="P913" s="7"/>
      <c r="Q913" s="62"/>
      <c r="R913" s="62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ht="19.8" x14ac:dyDescent="0.7">
      <c r="A914" s="51"/>
      <c r="B914" s="7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7"/>
      <c r="P914" s="7"/>
      <c r="Q914" s="62"/>
      <c r="R914" s="62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ht="19.8" x14ac:dyDescent="0.7">
      <c r="A915" s="51"/>
      <c r="B915" s="7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7"/>
      <c r="P915" s="7"/>
      <c r="Q915" s="62"/>
      <c r="R915" s="62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ht="19.8" x14ac:dyDescent="0.7">
      <c r="A916" s="51"/>
      <c r="B916" s="7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7"/>
      <c r="P916" s="7"/>
      <c r="Q916" s="62"/>
      <c r="R916" s="62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ht="19.8" x14ac:dyDescent="0.7">
      <c r="A917" s="51"/>
      <c r="B917" s="7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7"/>
      <c r="P917" s="7"/>
      <c r="Q917" s="62"/>
      <c r="R917" s="62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ht="19.8" x14ac:dyDescent="0.7">
      <c r="A918" s="51"/>
      <c r="B918" s="7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7"/>
      <c r="P918" s="7"/>
      <c r="Q918" s="62"/>
      <c r="R918" s="62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ht="19.8" x14ac:dyDescent="0.7">
      <c r="A919" s="7"/>
      <c r="B919" s="7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7"/>
      <c r="P919" s="7"/>
      <c r="Q919" s="62"/>
      <c r="R919" s="62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ht="19.8" x14ac:dyDescent="0.7">
      <c r="A920" s="7"/>
      <c r="B920" s="7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7"/>
      <c r="P920" s="7"/>
      <c r="Q920" s="62"/>
      <c r="R920" s="62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ht="19.8" x14ac:dyDescent="0.7">
      <c r="A921" s="7"/>
      <c r="B921" s="7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7"/>
      <c r="P921" s="7"/>
      <c r="Q921" s="62"/>
      <c r="R921" s="62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ht="19.8" x14ac:dyDescent="0.7">
      <c r="A922" s="7"/>
      <c r="B922" s="7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7"/>
      <c r="P922" s="7"/>
      <c r="Q922" s="62"/>
      <c r="R922" s="62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</sheetData>
  <autoFilter ref="A4:AD922" xr:uid="{00000000-0009-0000-0000-000001000000}"/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'SKU Builder'!$A$41:$A$44</xm:f>
          </x14:formula1>
          <xm:sqref>Q4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Z1000"/>
  <sheetViews>
    <sheetView workbookViewId="0"/>
  </sheetViews>
  <sheetFormatPr defaultColWidth="12.5546875" defaultRowHeight="15" customHeight="1" x14ac:dyDescent="0.25"/>
  <cols>
    <col min="1" max="1" width="19.33203125" customWidth="1"/>
    <col min="2" max="2" width="56.109375" customWidth="1"/>
  </cols>
  <sheetData>
    <row r="1" spans="1:26" ht="15" customHeight="1" x14ac:dyDescent="0.7">
      <c r="A1" s="64" t="s">
        <v>87</v>
      </c>
      <c r="B1" s="65" t="s">
        <v>88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.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3.2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" customHeight="1" x14ac:dyDescent="0.7">
      <c r="A4" s="51"/>
      <c r="B4" s="64" t="s">
        <v>89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" customHeight="1" x14ac:dyDescent="0.7">
      <c r="A5" s="64" t="s">
        <v>90</v>
      </c>
      <c r="B5" s="7" t="str">
        <f t="array" ref="B5">IFERROR(INDEX('SKU Builder'!$B$3:$B$7,MATCH(MID(B1,1,1),'SKU Builder'!$C$3:$C$7,FALSE)),"")</f>
        <v>Catchbox Plus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" customHeight="1" x14ac:dyDescent="0.7">
      <c r="A6" s="64" t="s">
        <v>91</v>
      </c>
      <c r="B6" s="51" t="str">
        <f t="array" ref="B6">IF(AND(MID(B1,1,1)="P",MID(B1,2,1)&lt;&gt;"0"),INDEX('SKU Builder'!$A$15:$A$21,MATCH(MID(B1,2,1),'SKU Builder'!$C$15:$C$21,FALSE)),"")</f>
        <v>4 channel Hub DSP recever with Networking and DANTE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" customHeight="1" x14ac:dyDescent="0.7">
      <c r="A7" s="64" t="s">
        <v>92</v>
      </c>
      <c r="B7" s="7" t="str">
        <f t="array" ref="B7">IF(AND(MID(B1,1,1)="P",MID(B1,3,1)&lt;&gt;"0"),INDEX('SKU Builder'!$A$25:$A$31,MATCH(MID(B1,3,1),'SKU Builder'!C25:C31,FALSE)),"")&amp;IF(AND(MID(B1,1,1)="P",MID(B1,7,1)&lt;&gt;"0")," with "&amp;INDEX('SKU Builder'!$B$35:$B$37,MATCH(MID(B1,7,1),'SKU Builder'!$C$35:$C$37,FALSE)),"")&amp;IF(AND(MID(B1,1,1)="P",MID(B1,11,1)&lt;&gt;"0")," - "&amp;INDEX('SKU Builder'!$B$41:$B$55,MATCH(MID(B1,11,1),'SKU Builder'!$C$41:$C$55,FALSE)),"")&amp;IF(AND(MID(B1,1,1)="B",MID(B1,3,1)&lt;&gt;"0"),INDEX('SKU Builder'!$E$19:$E$23,MATCH(MID(B1,3,1),'SKU Builder'!$G$19:$G$23,FALSE)),"")</f>
        <v>Cube with Charging Base - Cover Red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5" customHeight="1" x14ac:dyDescent="0.7">
      <c r="A8" s="64" t="s">
        <v>93</v>
      </c>
      <c r="B8" s="51" t="str">
        <f t="array" ref="B8">IF(AND(MID(B1,1,1)="P",MID(B1,4,1)&lt;&gt;"0"),INDEX('SKU Builder'!$A$25:$A$31,MATCH(MID(B1,4,1),'SKU Builder'!C25:C31,FALSE)),"")&amp;IF(AND(MID(B1,1,1)="P",MID(B1,8,1)&lt;&gt;"0")," with "&amp;INDEX('SKU Builder'!$B$35:$B$37,MATCH(MID(B1,8,1),'SKU Builder'!$C$35:$C$37,FALSE)),"")&amp;IF(AND(MID(B1,1,1)="P",MID(B1,12,1)&lt;&gt;"0")," - "&amp;INDEX('SKU Builder'!$B$41:$B$55,MATCH(MID(B1,12,1),'SKU Builder'!$C$41:$C$55,FALSE)),"")</f>
        <v>Cube with Charging Base - Cover Red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" customHeight="1" x14ac:dyDescent="0.7">
      <c r="A9" s="64" t="s">
        <v>94</v>
      </c>
      <c r="B9" s="51" t="str">
        <f t="array" ref="B9">IF(AND(MID(B1,1,1)="P",MID(B1,5,1)&lt;&gt;"0"),INDEX('SKU Builder'!$A$25:$A$31,MATCH(MID(B1,5,1),'SKU Builder'!C25:C31,FALSE)),"")&amp;IF(AND(MID(B1,1,1)="P",MID(B1,9,1)&lt;&gt;"0")," with "&amp;INDEX('SKU Builder'!$B$35:$B$37,MATCH(MID(B1,9,1),'SKU Builder'!$C$35:$C$37,FALSE)),"")&amp;IF(AND(MID(B1,1,1)="P",MID(B1,13,1)&lt;&gt;"0")," - "&amp;INDEX('SKU Builder'!$B$41:$B$55,MATCH(MID(B1,13,1),'SKU Builder'!$C$41:$C$55,FALSE)),"")</f>
        <v>Clip with Dual Charging Dock - Clip Jacket Red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5" customHeight="1" x14ac:dyDescent="0.7">
      <c r="A10" s="64" t="s">
        <v>95</v>
      </c>
      <c r="B10" s="51" t="str">
        <f t="array" ref="B10">IF(AND(MID(B1,1,1)="P",MID(B1,6,1)&lt;&gt;"0"),INDEX('SKU Builder'!$A$25:$A$31,MATCH(MID(B1,6,1),'SKU Builder'!C25:C31,FALSE)),"")&amp;IF(AND(MID(B1,1,1)="P",MID(B1,10,1)&lt;&gt;"0")," with "&amp;INDEX('SKU Builder'!$B$35:$B$37,MATCH(MID(B1,10,1),'SKU Builder'!$C$35:$C$37,FALSE)),"")&amp;IF(AND(MID(B1,1,1)="P",MID(B1,14,1)&lt;&gt;"0")," - "&amp;INDEX('SKU Builder'!$B$41:$B$55,MATCH(MID(B1,14,1),'SKU Builder'!$C$41:$C$55,FALSE)),"")</f>
        <v>Clip - Clip Jacket Red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" customHeight="1" x14ac:dyDescent="0.7">
      <c r="A11" s="64" t="s">
        <v>96</v>
      </c>
      <c r="B11" s="51" t="str">
        <f t="array" ref="B11">IF(AND(MID(B1,1,1)="P",MID(B1,16,1)&lt;&gt;"0"),INDEX('SKU Builder'!$B$58:$B$60,MATCH(MID(B1,16,1),'SKU Builder'!$C$58:$C$60,FALSE)),"")&amp;IF(AND(MID(B1,1,1)="B",MID(B1,16,1)&lt;&gt;"0"),INDEX('SKU Builder'!$F$27:$F$40,MATCH(MID(B1,16,1),'SKU Builder'!$G$27:$G$40,FALSE)),"")&amp;IF(AND(MID(B1,1,1)="A",MID(B1,16,1)&lt;&gt;"0"),INDEX('SKU Builder'!$U$14:$U$28,MATCH(MID(B1,16,1),'SKU Builder'!$V$14:$V$28,FALSE)),"")</f>
        <v/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" customHeight="1" x14ac:dyDescent="0.7">
      <c r="A12" s="64" t="s">
        <v>97</v>
      </c>
      <c r="B12" s="51" t="str">
        <f t="array" ref="B12">IFERROR(IF(AND(MID(B1,1,1)="P",MID(B1,17,1)&lt;&gt;"0"),INDEX('SKU Builder'!$B$58:$B$60,MATCH(MID(B1,17,1),'SKU Builder'!$C$58:$C$60,FALSE)),"")&amp;IF(AND(MID(B1,1,1)="B",MID(B1,17,1)&lt;&gt;"0"),INDEX('SKU Builder'!$F$27:$F$40,MATCH(MID(B1,17,1),'SKU Builder'!$G$27:$G$40,FALSE)),""),"")</f>
        <v/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" customHeight="1" x14ac:dyDescent="0.7">
      <c r="A13" s="64" t="s">
        <v>98</v>
      </c>
      <c r="B13" s="51" t="str">
        <f t="array" ref="B13">IFERROR(IF(AND(MID(B1,1,1)="P",MID(B1,18,1)&lt;&gt;"0"),INDEX('SKU Builder'!$B$58:$B$60,MATCH(MID(B1,18,1),'SKU Builder'!$C$58:$C$60,FALSE)),"")&amp;IF(AND(MID(B1,1,1)="B",MID(B1,18,1)&lt;&gt;"0"),INDEX('SKU Builder'!$F$27:$F$40,MATCH(MID(B1,18,1),'SKU Builder'!$G$27:$G$40,FALSE)),""),"")</f>
        <v/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3.2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3.2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3.2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3.2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.2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3.2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.2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3.2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3.2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3.2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3.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3.2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3.2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3.2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3.2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3.2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3.2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3.2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3.2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3.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3.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3.2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3.2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3.2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3.2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3.2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3.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3.2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3.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3.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3.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3.2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3.2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3.2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3.2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3.2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3.2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3.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3.2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3.2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3.2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2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3.2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3.2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3.2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3.2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3.2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3.2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3.2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3.2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3.2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3.2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3.2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3.2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3.2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3.2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3.2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3.2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3.2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3.2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3.2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3.2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3.2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3.2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3.2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3.2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3.2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3.2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3.2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3.2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3.2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3.2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3.2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3.2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3.2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3.2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3.2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3.2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3.2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3.2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3.2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3.2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3.2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3.2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3.2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3.2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3.2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3.2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3.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3.2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3.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3.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3.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3.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3.2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3.2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3.2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3.2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3.2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3.2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3.2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3.2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3.2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3.2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3.2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3.2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3.2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3.2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3.2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3.2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3.2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3.2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3.2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3.2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3.2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3.2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3.2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3.2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3.2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3.2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3.2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3.2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3.2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3.2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3.2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3.2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3.2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3.2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3.2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3.2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3.2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3.2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3.2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3.2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3.2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3.2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3.2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3.2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3.2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3.2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3.2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3.2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3.2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3.2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3.2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3.2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3.2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3.2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3.2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3.2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3.2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3.2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3.2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3.2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3.2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3.2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3.2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3.2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3.2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3.2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3.2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3.2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3.2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3.2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3.2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3.2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3.2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3.2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3.2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3.2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3.2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3.2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3.2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3.2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3.2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3.2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3.2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3.2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3.2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3.2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3.2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3.2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3.2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3.2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3.2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3.2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3.2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3.2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3.2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3.2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3.2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3.2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3.2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3.2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3.2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3.2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3.2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3.2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3.2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3.2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3.2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3.2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3.2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3.2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3.2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3.2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3.2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3.2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3.2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3.2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3.2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3.2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3.2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3.2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3.2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3.2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3.2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3.2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3.2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3.2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3.2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3.2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3.2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3.2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3.2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3.2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3.2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3.2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3.2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3.2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3.2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3.2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3.2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3.2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3.2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3.2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3.2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3.2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3.2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3.2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3.2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3.2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3.2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3.2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3.2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3.2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3.2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3.2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3.2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3.2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3.2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3.2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3.2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3.2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3.2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3.2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3.2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3.2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3.2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3.2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3.2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3.2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3.2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3.2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3.2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3.2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3.2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3.2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3.2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3.2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3.2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3.2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3.2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3.2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3.2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3.2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3.2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3.2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3.2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3.2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3.2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3.2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3.2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3.2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3.2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3.2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3.2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3.2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3.2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3.2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3.2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3.2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3.2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3.2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3.2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3.2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3.2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3.2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3.2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3.2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3.2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3.2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3.2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3.2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3.2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3.2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3.2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3.2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3.2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3.2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3.2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3.2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3.2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3.2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3.2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3.2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3.2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3.2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3.2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3.2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3.2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3.2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3.2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3.2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3.2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3.2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3.2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3.2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3.2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3.2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3.2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3.2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3.2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3.2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3.2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3.2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3.2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3.2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3.2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3.2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3.2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3.2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3.2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3.2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3.2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3.2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3.2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3.2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3.2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3.2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3.2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3.2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3.2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3.2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3.2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3.2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3.2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3.2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3.2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3.2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3.2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3.2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3.2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3.2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3.2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3.2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3.2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3.2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3.2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3.2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3.2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3.2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3.2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3.2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3.2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3.2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3.2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3.2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3.2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3.2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3.2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3.2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3.2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3.2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3.2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3.2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3.2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3.2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3.2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3.2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3.2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3.2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3.2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3.2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3.2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3.2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3.2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3.2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3.2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3.2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3.2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3.2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3.2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3.2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3.2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3.2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3.2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3.2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3.2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3.2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3.2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3.2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3.2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3.2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3.2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3.2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3.2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3.2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3.2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3.2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3.2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3.2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3.2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3.2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3.2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3.2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3.2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3.2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3.2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3.2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3.2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3.2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3.2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3.2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3.2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3.2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3.2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3.2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3.2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3.2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3.2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3.2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3.2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3.2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3.2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3.2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3.2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3.2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3.2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3.2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3.2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3.2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3.2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3.2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3.2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3.2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3.2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3.2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3.2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3.2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3.2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3.2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3.2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3.2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3.2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3.2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3.2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3.2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3.2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3.2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3.2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3.2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3.2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3.2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3.2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3.2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3.2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3.2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3.2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3.2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3.2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3.2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3.2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3.2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3.2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3.2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3.2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3.2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3.2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3.2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3.2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3.2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3.2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3.2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3.2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3.2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3.2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3.2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3.2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3.2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3.2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3.2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3.2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3.2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3.2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3.2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3.2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3.2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3.2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3.2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3.2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3.2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3.2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3.2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3.2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3.2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3.2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3.2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3.2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3.2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3.2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3.2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3.2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3.2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3.2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3.2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3.2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3.2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3.2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3.2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3.2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3.2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3.2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3.2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3.2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3.2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3.2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3.2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3.2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3.2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3.2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3.2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3.2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3.2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3.2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3.2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3.2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3.2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3.2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3.2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3.2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3.2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3.2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3.2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3.2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3.2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3.2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3.2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3.2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3.2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3.2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3.2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3.2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3.2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3.2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3.2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3.2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3.2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3.2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3.2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3.2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3.2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3.2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3.2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3.2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3.2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3.2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3.2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3.2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3.2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3.2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3.2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3.2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3.2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3.2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3.2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3.2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3.2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3.2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3.2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3.2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3.2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3.2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3.2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3.2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3.2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3.2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3.2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3.2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3.2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3.2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3.2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3.2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3.2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3.2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3.2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3.2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3.2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3.2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3.2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3.2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3.2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3.2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3.2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3.2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3.2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3.2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3.2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3.2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3.2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3.2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3.2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3.2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3.2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3.2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3.2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3.2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3.2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3.2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3.2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3.2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3.2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3.2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3.2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3.2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3.2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3.2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3.2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3.2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3.2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3.2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3.2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3.2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3.2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3.2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3.2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3.2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3.2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3.2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3.2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3.2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3.2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3.2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3.2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3.2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3.2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3.2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3.2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3.2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3.2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3.2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3.2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3.2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3.2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3.2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3.2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3.2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3.2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3.2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3.2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3.2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3.2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3.2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3.2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3.2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3.2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3.2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3.2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3.2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3.2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3.2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3.2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3.2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3.2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3.2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3.2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3.2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3.2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3.2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3.2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3.2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3.2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3.2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3.2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3.2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3.2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3.2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3.2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3.2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3.2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3.2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3.2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3.2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3.2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3.2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3.2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3.2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3.2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3.2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3.2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3.2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3.2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3.2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3.2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3.2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3.2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3.2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3.2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3.2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3.2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3.2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3.2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3.2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3.2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3.2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3.2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3.2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3.2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3.2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3.2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3.2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3.2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3.2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3.2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3.2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3.2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3.2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3.2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3.2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3.2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3.2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3.2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3.2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3.2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3.2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3.2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3.2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3.2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3.2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3.2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3.2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3.2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3.2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3.2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3.2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3.2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3.2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3.2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3.2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3.2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3.2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3.2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3.2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3.2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3.2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3.2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3.2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3.2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3.2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3.2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3.2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3.2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3.2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3.2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3.2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3.2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3.2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3.2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3.2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3.2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3.2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3.2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3.2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3.2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3.2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3.2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3.2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3.2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3.2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3.2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3.2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3.2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3.2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3.2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3.2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3.2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3.2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3.2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3.2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3.2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3.2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3.2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3.2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3.2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3.2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3.2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3.2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3.2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3.2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3.2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3.2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3.2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3.2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3.2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3.2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3.2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3.2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3.2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3.2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3.2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3.2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3.2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3.2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3.2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3.2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3.2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3.2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3.2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3.2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3.2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3.2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3.2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3.2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3.2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3.2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3.2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3.2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3.2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3.2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3.2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3.2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3.2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3.2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3.2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3.2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3.2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3.2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3.2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3.2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3.2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3.2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3.2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3.2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3.2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3.2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3.2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3.2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3.2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3.2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3.2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3.2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3.2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3.2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3.2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3.2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3.2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3.2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3.2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3.2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3.2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3.2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3.2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3.2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3.2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3.2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3.2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3.2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3.2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3.2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3.2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3.2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3.2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3.2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3.2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3.2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3.2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3.2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3.2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3.2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3.2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3.2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3.2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3.2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3.2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3.2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3.2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3.2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3.2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3.2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3.2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3.2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3.2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3.2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3.2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3.2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3.2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3.2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3.2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3.2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3.2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3.2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3.2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3.2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3.2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3.2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3.2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3.2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3.2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3.2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3.2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3.2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3.2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3.2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3.2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3.2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3.2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3.2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3.2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3.2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3.2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3.2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3.2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3.2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3.2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3.2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3.2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3.2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3.2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3.2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3.2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3.2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3.2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3.2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3.2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3.2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3.2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3.2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3.2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3.2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3.2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3.2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3.2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3.2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3.2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3.2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3.2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3.2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3.2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3.2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3.2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3.2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3.2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3.2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3.2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3.2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3.2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3.2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3.2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3.2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3.2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3.2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3.2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3.2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3.2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3.2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3.2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3.2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3.2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3.2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3.2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3.2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3.2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3.2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W1013"/>
  <sheetViews>
    <sheetView workbookViewId="0">
      <selection activeCell="B2" sqref="B2"/>
    </sheetView>
  </sheetViews>
  <sheetFormatPr defaultColWidth="12.5546875" defaultRowHeight="15" customHeight="1" x14ac:dyDescent="0.25"/>
  <cols>
    <col min="1" max="1" width="13" style="67" customWidth="1"/>
    <col min="2" max="2" width="39.44140625" style="67" customWidth="1"/>
    <col min="3" max="3" width="30.88671875" style="67" customWidth="1"/>
    <col min="4" max="4" width="4.44140625" style="67" customWidth="1"/>
    <col min="5" max="5" width="6.109375" style="67" customWidth="1"/>
    <col min="6" max="6" width="32.44140625" style="67" customWidth="1"/>
    <col min="7" max="7" width="17.33203125" style="67" customWidth="1"/>
    <col min="8" max="9" width="12.5546875" style="67"/>
    <col min="10" max="10" width="14.6640625" style="67" customWidth="1"/>
    <col min="11" max="20" width="12.5546875" style="67"/>
    <col min="21" max="21" width="52.88671875" style="67" customWidth="1"/>
    <col min="22" max="16384" width="12.5546875" style="67"/>
  </cols>
  <sheetData>
    <row r="1" spans="1:23" ht="13.2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15" customHeight="1" x14ac:dyDescent="0.6">
      <c r="A2" s="66"/>
      <c r="B2" s="68" t="s">
        <v>99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15" customHeight="1" x14ac:dyDescent="0.6">
      <c r="A3" s="66"/>
      <c r="B3" s="68" t="s">
        <v>100</v>
      </c>
      <c r="C3" s="74" t="s">
        <v>101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ht="15" customHeight="1" x14ac:dyDescent="0.6">
      <c r="A4" s="66"/>
      <c r="B4" s="68" t="s">
        <v>77</v>
      </c>
      <c r="C4" s="74" t="s">
        <v>102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ht="15" customHeight="1" x14ac:dyDescent="0.6">
      <c r="A5" s="66"/>
      <c r="B5" s="68" t="s">
        <v>103</v>
      </c>
      <c r="C5" s="74" t="s">
        <v>104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3" ht="15" customHeight="1" x14ac:dyDescent="0.6">
      <c r="A6" s="66"/>
      <c r="B6" s="68" t="s">
        <v>105</v>
      </c>
      <c r="C6" s="74" t="s">
        <v>106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3" ht="15" customHeight="1" x14ac:dyDescent="0.6">
      <c r="A7" s="66"/>
      <c r="B7" s="68" t="s">
        <v>107</v>
      </c>
      <c r="C7" s="74" t="s">
        <v>108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23" ht="13.2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13.2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23" ht="15" customHeight="1" x14ac:dyDescent="0.6">
      <c r="A10" s="68" t="s">
        <v>109</v>
      </c>
      <c r="B10" s="68" t="s">
        <v>99</v>
      </c>
      <c r="C10" s="74" t="s">
        <v>101</v>
      </c>
      <c r="D10" s="66"/>
      <c r="E10" s="68" t="s">
        <v>109</v>
      </c>
      <c r="F10" s="68" t="s">
        <v>99</v>
      </c>
      <c r="G10" s="74" t="s">
        <v>102</v>
      </c>
      <c r="H10" s="66"/>
      <c r="I10" s="68" t="s">
        <v>99</v>
      </c>
      <c r="J10" s="74" t="s">
        <v>104</v>
      </c>
      <c r="K10" s="66"/>
      <c r="L10" s="68" t="s">
        <v>99</v>
      </c>
      <c r="M10" s="74" t="s">
        <v>106</v>
      </c>
      <c r="N10" s="66"/>
      <c r="O10" s="68" t="s">
        <v>99</v>
      </c>
      <c r="P10" s="74" t="s">
        <v>108</v>
      </c>
      <c r="Q10" s="66"/>
      <c r="R10" s="68" t="s">
        <v>110</v>
      </c>
      <c r="S10" s="87" t="s">
        <v>111</v>
      </c>
      <c r="T10" s="86"/>
      <c r="U10" s="69" t="s">
        <v>112</v>
      </c>
      <c r="V10" s="87" t="s">
        <v>113</v>
      </c>
      <c r="W10" s="86"/>
    </row>
    <row r="11" spans="1:23" ht="15" customHeight="1" x14ac:dyDescent="0.6">
      <c r="A11" s="66"/>
      <c r="B11" s="66"/>
      <c r="C11" s="70" t="s">
        <v>114</v>
      </c>
      <c r="D11" s="66"/>
      <c r="E11" s="66"/>
      <c r="F11" s="66"/>
      <c r="G11" s="70" t="s">
        <v>114</v>
      </c>
      <c r="H11" s="66"/>
      <c r="I11" s="66"/>
      <c r="J11" s="70" t="s">
        <v>114</v>
      </c>
      <c r="K11" s="66"/>
      <c r="L11" s="66"/>
      <c r="M11" s="70" t="s">
        <v>114</v>
      </c>
      <c r="N11" s="66"/>
      <c r="O11" s="66"/>
      <c r="P11" s="70" t="s">
        <v>114</v>
      </c>
      <c r="Q11" s="66"/>
      <c r="R11" s="66"/>
      <c r="S11" s="66"/>
      <c r="T11" s="66"/>
      <c r="U11" s="66"/>
      <c r="V11" s="73" t="s">
        <v>115</v>
      </c>
      <c r="W11" s="66"/>
    </row>
    <row r="12" spans="1:23" ht="15" customHeight="1" x14ac:dyDescent="0.6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73" t="s">
        <v>115</v>
      </c>
      <c r="T12" s="66"/>
      <c r="U12" s="66"/>
      <c r="V12" s="66"/>
      <c r="W12" s="66"/>
    </row>
    <row r="13" spans="1:23" ht="15" customHeight="1" x14ac:dyDescent="0.6">
      <c r="A13" s="66"/>
      <c r="B13" s="73" t="s">
        <v>116</v>
      </c>
      <c r="C13" s="66"/>
      <c r="D13" s="66"/>
      <c r="E13" s="66"/>
      <c r="F13" s="85" t="s">
        <v>117</v>
      </c>
      <c r="G13" s="86"/>
      <c r="H13" s="66"/>
      <c r="I13" s="85" t="s">
        <v>118</v>
      </c>
      <c r="J13" s="86"/>
      <c r="K13" s="66"/>
      <c r="L13" s="85" t="s">
        <v>118</v>
      </c>
      <c r="M13" s="86"/>
      <c r="N13" s="66"/>
      <c r="O13" s="85" t="s">
        <v>118</v>
      </c>
      <c r="P13" s="86"/>
      <c r="Q13" s="66"/>
      <c r="R13" s="85" t="s">
        <v>119</v>
      </c>
      <c r="S13" s="86"/>
      <c r="T13" s="66"/>
      <c r="U13" s="66"/>
      <c r="V13" s="66"/>
      <c r="W13" s="66"/>
    </row>
    <row r="14" spans="1:23" ht="15" customHeight="1" x14ac:dyDescent="0.6">
      <c r="A14" s="66"/>
      <c r="B14" s="70" t="s">
        <v>120</v>
      </c>
      <c r="C14" s="73">
        <v>0</v>
      </c>
      <c r="D14" s="66"/>
      <c r="E14" s="66"/>
      <c r="F14" s="70" t="s">
        <v>121</v>
      </c>
      <c r="G14" s="73" t="s">
        <v>113</v>
      </c>
      <c r="H14" s="66"/>
      <c r="I14" s="70" t="s">
        <v>122</v>
      </c>
      <c r="J14" s="73" t="s">
        <v>113</v>
      </c>
      <c r="K14" s="66"/>
      <c r="L14" s="70" t="s">
        <v>123</v>
      </c>
      <c r="M14" s="73" t="s">
        <v>124</v>
      </c>
      <c r="N14" s="66"/>
      <c r="O14" s="70" t="s">
        <v>125</v>
      </c>
      <c r="P14" s="73" t="s">
        <v>126</v>
      </c>
      <c r="Q14" s="66"/>
      <c r="R14" s="70" t="s">
        <v>127</v>
      </c>
      <c r="S14" s="73" t="s">
        <v>113</v>
      </c>
      <c r="T14" s="66"/>
      <c r="U14" s="70" t="s">
        <v>128</v>
      </c>
      <c r="V14" s="73" t="s">
        <v>113</v>
      </c>
      <c r="W14" s="66"/>
    </row>
    <row r="15" spans="1:23" ht="15" customHeight="1" x14ac:dyDescent="0.6">
      <c r="A15" s="70" t="s">
        <v>129</v>
      </c>
      <c r="B15" s="70" t="s">
        <v>130</v>
      </c>
      <c r="C15" s="73" t="s">
        <v>113</v>
      </c>
      <c r="D15" s="66"/>
      <c r="E15" s="66"/>
      <c r="F15" s="70" t="s">
        <v>131</v>
      </c>
      <c r="G15" s="73" t="s">
        <v>102</v>
      </c>
      <c r="H15" s="66"/>
      <c r="I15" s="70" t="s">
        <v>132</v>
      </c>
      <c r="J15" s="73" t="s">
        <v>102</v>
      </c>
      <c r="K15" s="66"/>
      <c r="L15" s="70" t="s">
        <v>133</v>
      </c>
      <c r="M15" s="73" t="s">
        <v>134</v>
      </c>
      <c r="N15" s="66"/>
      <c r="O15" s="70" t="s">
        <v>135</v>
      </c>
      <c r="P15" s="73" t="s">
        <v>136</v>
      </c>
      <c r="Q15" s="66"/>
      <c r="R15" s="70" t="s">
        <v>137</v>
      </c>
      <c r="S15" s="73" t="s">
        <v>102</v>
      </c>
      <c r="T15" s="66"/>
      <c r="U15" s="70" t="s">
        <v>138</v>
      </c>
      <c r="V15" s="73" t="s">
        <v>102</v>
      </c>
      <c r="W15" s="66"/>
    </row>
    <row r="16" spans="1:23" ht="15" customHeight="1" x14ac:dyDescent="0.6">
      <c r="A16" s="70" t="s">
        <v>139</v>
      </c>
      <c r="B16" s="70" t="s">
        <v>140</v>
      </c>
      <c r="C16" s="73" t="s">
        <v>102</v>
      </c>
      <c r="D16" s="66"/>
      <c r="E16" s="66"/>
      <c r="F16" s="66"/>
      <c r="G16" s="66"/>
      <c r="H16" s="66"/>
      <c r="I16" s="70" t="s">
        <v>141</v>
      </c>
      <c r="J16" s="73" t="s">
        <v>104</v>
      </c>
      <c r="K16" s="66"/>
      <c r="L16" s="70" t="s">
        <v>142</v>
      </c>
      <c r="M16" s="73" t="s">
        <v>143</v>
      </c>
      <c r="N16" s="66"/>
      <c r="O16" s="70" t="s">
        <v>144</v>
      </c>
      <c r="P16" s="73" t="s">
        <v>145</v>
      </c>
      <c r="Q16" s="66"/>
      <c r="R16" s="70" t="s">
        <v>146</v>
      </c>
      <c r="S16" s="73" t="s">
        <v>104</v>
      </c>
      <c r="T16" s="66"/>
      <c r="U16" s="70" t="s">
        <v>73</v>
      </c>
      <c r="V16" s="73" t="s">
        <v>104</v>
      </c>
      <c r="W16" s="66"/>
    </row>
    <row r="17" spans="1:23" ht="15" customHeight="1" x14ac:dyDescent="0.6">
      <c r="A17" s="70" t="s">
        <v>147</v>
      </c>
      <c r="B17" s="70" t="s">
        <v>148</v>
      </c>
      <c r="C17" s="73" t="s">
        <v>104</v>
      </c>
      <c r="D17" s="66"/>
      <c r="E17" s="66"/>
      <c r="F17" s="85" t="s">
        <v>118</v>
      </c>
      <c r="G17" s="86"/>
      <c r="H17" s="66"/>
      <c r="I17" s="70" t="s">
        <v>149</v>
      </c>
      <c r="J17" s="73" t="s">
        <v>150</v>
      </c>
      <c r="K17" s="66"/>
      <c r="L17" s="70" t="s">
        <v>151</v>
      </c>
      <c r="M17" s="73" t="s">
        <v>152</v>
      </c>
      <c r="N17" s="66"/>
      <c r="O17" s="70" t="s">
        <v>153</v>
      </c>
      <c r="P17" s="73" t="s">
        <v>154</v>
      </c>
      <c r="Q17" s="66"/>
      <c r="R17" s="70" t="s">
        <v>155</v>
      </c>
      <c r="S17" s="73" t="s">
        <v>150</v>
      </c>
      <c r="T17" s="66"/>
      <c r="U17" s="70" t="s">
        <v>156</v>
      </c>
      <c r="V17" s="73" t="s">
        <v>150</v>
      </c>
      <c r="W17" s="66"/>
    </row>
    <row r="18" spans="1:23" ht="15" customHeight="1" x14ac:dyDescent="0.6">
      <c r="A18" s="70" t="s">
        <v>157</v>
      </c>
      <c r="B18" s="70" t="s">
        <v>158</v>
      </c>
      <c r="C18" s="73" t="s">
        <v>150</v>
      </c>
      <c r="D18" s="66"/>
      <c r="E18" s="66"/>
      <c r="F18" s="70" t="s">
        <v>159</v>
      </c>
      <c r="G18" s="73">
        <v>0</v>
      </c>
      <c r="H18" s="66"/>
      <c r="I18" s="70" t="s">
        <v>160</v>
      </c>
      <c r="J18" s="73" t="s">
        <v>161</v>
      </c>
      <c r="K18" s="66"/>
      <c r="L18" s="70" t="s">
        <v>162</v>
      </c>
      <c r="M18" s="73" t="s">
        <v>106</v>
      </c>
      <c r="N18" s="66"/>
      <c r="O18" s="70" t="s">
        <v>163</v>
      </c>
      <c r="P18" s="73" t="s">
        <v>164</v>
      </c>
      <c r="Q18" s="66"/>
      <c r="R18" s="70" t="s">
        <v>165</v>
      </c>
      <c r="S18" s="73" t="s">
        <v>161</v>
      </c>
      <c r="T18" s="66"/>
      <c r="U18" s="70" t="s">
        <v>166</v>
      </c>
      <c r="V18" s="73" t="s">
        <v>161</v>
      </c>
      <c r="W18" s="66"/>
    </row>
    <row r="19" spans="1:23" ht="15" customHeight="1" x14ac:dyDescent="0.6">
      <c r="A19" s="70" t="s">
        <v>167</v>
      </c>
      <c r="B19" s="70" t="s">
        <v>167</v>
      </c>
      <c r="C19" s="73" t="s">
        <v>161</v>
      </c>
      <c r="D19" s="66"/>
      <c r="E19" s="70" t="s">
        <v>44</v>
      </c>
      <c r="F19" s="70" t="s">
        <v>122</v>
      </c>
      <c r="G19" s="73" t="s">
        <v>113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70" t="s">
        <v>168</v>
      </c>
      <c r="S19" s="73" t="s">
        <v>124</v>
      </c>
      <c r="T19" s="66"/>
      <c r="U19" s="70" t="s">
        <v>76</v>
      </c>
      <c r="V19" s="73" t="s">
        <v>124</v>
      </c>
      <c r="W19" s="66"/>
    </row>
    <row r="20" spans="1:23" ht="15" customHeight="1" x14ac:dyDescent="0.6">
      <c r="A20" s="70" t="s">
        <v>169</v>
      </c>
      <c r="B20" s="70" t="s">
        <v>169</v>
      </c>
      <c r="C20" s="73" t="s">
        <v>124</v>
      </c>
      <c r="D20" s="66"/>
      <c r="E20" s="70" t="s">
        <v>170</v>
      </c>
      <c r="F20" s="70" t="s">
        <v>132</v>
      </c>
      <c r="G20" s="73" t="s">
        <v>102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70" t="s">
        <v>171</v>
      </c>
      <c r="V20" s="73" t="s">
        <v>134</v>
      </c>
      <c r="W20" s="66"/>
    </row>
    <row r="21" spans="1:23" ht="15" customHeight="1" x14ac:dyDescent="0.6">
      <c r="A21" s="70" t="s">
        <v>172</v>
      </c>
      <c r="B21" s="70" t="s">
        <v>172</v>
      </c>
      <c r="C21" s="73" t="s">
        <v>134</v>
      </c>
      <c r="D21" s="66"/>
      <c r="E21" s="70" t="s">
        <v>173</v>
      </c>
      <c r="F21" s="70" t="s">
        <v>141</v>
      </c>
      <c r="G21" s="73" t="s">
        <v>104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70" t="s">
        <v>174</v>
      </c>
      <c r="V21" s="73" t="s">
        <v>143</v>
      </c>
      <c r="W21" s="66"/>
    </row>
    <row r="22" spans="1:23" ht="15" customHeight="1" x14ac:dyDescent="0.6">
      <c r="A22" s="66"/>
      <c r="B22" s="66"/>
      <c r="C22" s="66"/>
      <c r="D22" s="66"/>
      <c r="E22" s="70" t="s">
        <v>175</v>
      </c>
      <c r="F22" s="70" t="s">
        <v>149</v>
      </c>
      <c r="G22" s="73" t="s">
        <v>150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70" t="s">
        <v>176</v>
      </c>
      <c r="V22" s="73" t="s">
        <v>152</v>
      </c>
      <c r="W22" s="66"/>
    </row>
    <row r="23" spans="1:23" ht="15" customHeight="1" x14ac:dyDescent="0.6">
      <c r="A23" s="66"/>
      <c r="B23" s="73" t="s">
        <v>177</v>
      </c>
      <c r="C23" s="66"/>
      <c r="D23" s="66"/>
      <c r="E23" s="70" t="s">
        <v>45</v>
      </c>
      <c r="F23" s="70" t="s">
        <v>160</v>
      </c>
      <c r="G23" s="73" t="s">
        <v>161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70" t="s">
        <v>178</v>
      </c>
      <c r="V23" s="73" t="s">
        <v>106</v>
      </c>
      <c r="W23" s="66"/>
    </row>
    <row r="24" spans="1:23" ht="15" customHeight="1" x14ac:dyDescent="0.6">
      <c r="A24" s="66"/>
      <c r="B24" s="70" t="s">
        <v>179</v>
      </c>
      <c r="C24" s="73">
        <v>0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 t="s">
        <v>180</v>
      </c>
      <c r="V24" s="73" t="s">
        <v>126</v>
      </c>
      <c r="W24" s="66"/>
    </row>
    <row r="25" spans="1:23" ht="15" customHeight="1" x14ac:dyDescent="0.6">
      <c r="A25" s="70" t="s">
        <v>37</v>
      </c>
      <c r="B25" s="70" t="s">
        <v>181</v>
      </c>
      <c r="C25" s="73" t="s">
        <v>113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70" t="s">
        <v>182</v>
      </c>
      <c r="V25" s="73" t="s">
        <v>136</v>
      </c>
      <c r="W25" s="66"/>
    </row>
    <row r="26" spans="1:23" ht="15" customHeight="1" x14ac:dyDescent="0.6">
      <c r="A26" s="70" t="s">
        <v>38</v>
      </c>
      <c r="B26" s="70" t="s">
        <v>183</v>
      </c>
      <c r="C26" s="73" t="s">
        <v>102</v>
      </c>
      <c r="D26" s="66"/>
      <c r="E26" s="66"/>
      <c r="F26" s="85" t="s">
        <v>119</v>
      </c>
      <c r="G26" s="8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70" t="s">
        <v>184</v>
      </c>
      <c r="V26" s="73" t="s">
        <v>145</v>
      </c>
      <c r="W26" s="66"/>
    </row>
    <row r="27" spans="1:23" ht="15" customHeight="1" x14ac:dyDescent="0.6">
      <c r="A27" s="70" t="s">
        <v>39</v>
      </c>
      <c r="B27" s="70" t="s">
        <v>185</v>
      </c>
      <c r="C27" s="73" t="s">
        <v>104</v>
      </c>
      <c r="D27" s="66"/>
      <c r="E27" s="66"/>
      <c r="F27" s="70" t="s">
        <v>186</v>
      </c>
      <c r="G27" s="73" t="s">
        <v>113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70" t="s">
        <v>75</v>
      </c>
      <c r="V27" s="73" t="s">
        <v>154</v>
      </c>
      <c r="W27" s="66"/>
    </row>
    <row r="28" spans="1:23" ht="15" customHeight="1" x14ac:dyDescent="0.6">
      <c r="A28" s="70" t="s">
        <v>187</v>
      </c>
      <c r="B28" s="70" t="s">
        <v>187</v>
      </c>
      <c r="C28" s="73" t="s">
        <v>150</v>
      </c>
      <c r="D28" s="66"/>
      <c r="E28" s="66"/>
      <c r="F28" s="70" t="s">
        <v>188</v>
      </c>
      <c r="G28" s="73" t="s">
        <v>102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70" t="s">
        <v>74</v>
      </c>
      <c r="V28" s="73" t="s">
        <v>164</v>
      </c>
      <c r="W28" s="66"/>
    </row>
    <row r="29" spans="1:23" ht="15" customHeight="1" x14ac:dyDescent="0.6">
      <c r="A29" s="70" t="s">
        <v>189</v>
      </c>
      <c r="B29" s="70" t="s">
        <v>189</v>
      </c>
      <c r="C29" s="73" t="s">
        <v>161</v>
      </c>
      <c r="D29" s="66"/>
      <c r="E29" s="66"/>
      <c r="F29" s="70" t="s">
        <v>190</v>
      </c>
      <c r="G29" s="73" t="s">
        <v>104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70" t="s">
        <v>191</v>
      </c>
      <c r="V29" s="73" t="s">
        <v>101</v>
      </c>
      <c r="W29" s="66"/>
    </row>
    <row r="30" spans="1:23" ht="15" customHeight="1" x14ac:dyDescent="0.6">
      <c r="A30" s="70" t="s">
        <v>192</v>
      </c>
      <c r="B30" s="70" t="s">
        <v>192</v>
      </c>
      <c r="C30" s="73" t="s">
        <v>124</v>
      </c>
      <c r="D30" s="66"/>
      <c r="E30" s="66"/>
      <c r="F30" s="70" t="s">
        <v>193</v>
      </c>
      <c r="G30" s="73" t="s">
        <v>150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23" ht="15" customHeight="1" x14ac:dyDescent="0.6">
      <c r="A31" s="70" t="s">
        <v>194</v>
      </c>
      <c r="B31" s="70" t="s">
        <v>194</v>
      </c>
      <c r="C31" s="73" t="s">
        <v>134</v>
      </c>
      <c r="D31" s="66"/>
      <c r="E31" s="66"/>
      <c r="F31" s="70" t="s">
        <v>195</v>
      </c>
      <c r="G31" s="73" t="s">
        <v>161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23" ht="15" customHeight="1" x14ac:dyDescent="0.6">
      <c r="A32" s="66"/>
      <c r="B32" s="66"/>
      <c r="C32" s="66"/>
      <c r="D32" s="66"/>
      <c r="E32" s="66"/>
      <c r="F32" s="70" t="s">
        <v>196</v>
      </c>
      <c r="G32" s="73" t="s">
        <v>124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ht="15" customHeight="1" x14ac:dyDescent="0.6">
      <c r="A33" s="66"/>
      <c r="B33" s="73" t="s">
        <v>197</v>
      </c>
      <c r="C33" s="66"/>
      <c r="D33" s="66"/>
      <c r="E33" s="66"/>
      <c r="F33" s="70" t="s">
        <v>198</v>
      </c>
      <c r="G33" s="73" t="s">
        <v>134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3" ht="15" customHeight="1" x14ac:dyDescent="0.6">
      <c r="A34" s="66"/>
      <c r="B34" s="70" t="s">
        <v>199</v>
      </c>
      <c r="C34" s="73">
        <v>0</v>
      </c>
      <c r="D34" s="66"/>
      <c r="E34" s="66"/>
      <c r="F34" s="70" t="s">
        <v>200</v>
      </c>
      <c r="G34" s="73" t="s">
        <v>143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5" customHeight="1" x14ac:dyDescent="0.6">
      <c r="A35" s="66"/>
      <c r="B35" s="70" t="s">
        <v>201</v>
      </c>
      <c r="C35" s="73" t="s">
        <v>113</v>
      </c>
      <c r="D35" s="66"/>
      <c r="E35" s="66"/>
      <c r="F35" s="70" t="s">
        <v>202</v>
      </c>
      <c r="G35" s="73" t="s">
        <v>152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5" customHeight="1" x14ac:dyDescent="0.6">
      <c r="A36" s="66"/>
      <c r="B36" s="70" t="s">
        <v>203</v>
      </c>
      <c r="C36" s="73" t="s">
        <v>102</v>
      </c>
      <c r="D36" s="66"/>
      <c r="E36" s="66"/>
      <c r="F36" s="70" t="s">
        <v>204</v>
      </c>
      <c r="G36" s="73" t="s">
        <v>106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ht="15" customHeight="1" x14ac:dyDescent="0.6">
      <c r="A37" s="66"/>
      <c r="B37" s="70" t="s">
        <v>205</v>
      </c>
      <c r="C37" s="73" t="s">
        <v>104</v>
      </c>
      <c r="D37" s="66"/>
      <c r="E37" s="66"/>
      <c r="F37" s="70" t="s">
        <v>206</v>
      </c>
      <c r="G37" s="73" t="s">
        <v>126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1:23" ht="15" customHeight="1" x14ac:dyDescent="0.6">
      <c r="A38" s="66"/>
      <c r="B38" s="66"/>
      <c r="C38" s="66"/>
      <c r="D38" s="66"/>
      <c r="E38" s="66"/>
      <c r="F38" s="70" t="s">
        <v>207</v>
      </c>
      <c r="G38" s="73" t="s">
        <v>136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7.399999999999999" x14ac:dyDescent="0.6">
      <c r="A39" s="66"/>
      <c r="B39" s="73" t="s">
        <v>208</v>
      </c>
      <c r="C39" s="66"/>
      <c r="D39" s="66"/>
      <c r="E39" s="66"/>
      <c r="F39" s="70" t="s">
        <v>209</v>
      </c>
      <c r="G39" s="73" t="s">
        <v>145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</row>
    <row r="40" spans="1:23" ht="17.399999999999999" x14ac:dyDescent="0.6">
      <c r="A40" s="66"/>
      <c r="B40" s="70" t="s">
        <v>159</v>
      </c>
      <c r="C40" s="73">
        <v>0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</row>
    <row r="41" spans="1:23" ht="17.399999999999999" x14ac:dyDescent="0.6">
      <c r="A41" s="70" t="s">
        <v>44</v>
      </c>
      <c r="B41" s="70" t="s">
        <v>122</v>
      </c>
      <c r="C41" s="73" t="s">
        <v>113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1:23" ht="17.399999999999999" x14ac:dyDescent="0.6">
      <c r="A42" s="70" t="s">
        <v>170</v>
      </c>
      <c r="B42" s="70" t="s">
        <v>132</v>
      </c>
      <c r="C42" s="73" t="s">
        <v>102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1:23" ht="17.399999999999999" x14ac:dyDescent="0.6">
      <c r="A43" s="70" t="s">
        <v>173</v>
      </c>
      <c r="B43" s="70" t="s">
        <v>141</v>
      </c>
      <c r="C43" s="73" t="s">
        <v>104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1:23" ht="17.399999999999999" x14ac:dyDescent="0.6">
      <c r="A44" s="70" t="s">
        <v>175</v>
      </c>
      <c r="B44" s="70" t="s">
        <v>149</v>
      </c>
      <c r="C44" s="73" t="s">
        <v>150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1:23" ht="17.399999999999999" x14ac:dyDescent="0.6">
      <c r="A45" s="70" t="s">
        <v>45</v>
      </c>
      <c r="B45" s="70" t="s">
        <v>160</v>
      </c>
      <c r="C45" s="73" t="s">
        <v>161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</row>
    <row r="46" spans="1:23" ht="17.399999999999999" x14ac:dyDescent="0.6">
      <c r="A46" s="70" t="s">
        <v>44</v>
      </c>
      <c r="B46" s="70" t="s">
        <v>123</v>
      </c>
      <c r="C46" s="73" t="s">
        <v>124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</row>
    <row r="47" spans="1:23" ht="17.399999999999999" x14ac:dyDescent="0.6">
      <c r="A47" s="70" t="s">
        <v>170</v>
      </c>
      <c r="B47" s="70" t="s">
        <v>133</v>
      </c>
      <c r="C47" s="73" t="s">
        <v>134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</row>
    <row r="48" spans="1:23" ht="17.399999999999999" x14ac:dyDescent="0.6">
      <c r="A48" s="70" t="s">
        <v>173</v>
      </c>
      <c r="B48" s="70" t="s">
        <v>142</v>
      </c>
      <c r="C48" s="73" t="s">
        <v>143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</row>
    <row r="49" spans="1:23" ht="17.399999999999999" x14ac:dyDescent="0.6">
      <c r="A49" s="70" t="s">
        <v>175</v>
      </c>
      <c r="B49" s="70" t="s">
        <v>151</v>
      </c>
      <c r="C49" s="73" t="s">
        <v>152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ht="17.399999999999999" x14ac:dyDescent="0.6">
      <c r="A50" s="70" t="s">
        <v>45</v>
      </c>
      <c r="B50" s="70" t="s">
        <v>162</v>
      </c>
      <c r="C50" s="73" t="s">
        <v>106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ht="17.399999999999999" x14ac:dyDescent="0.6">
      <c r="A51" s="70" t="s">
        <v>44</v>
      </c>
      <c r="B51" s="70" t="s">
        <v>125</v>
      </c>
      <c r="C51" s="73" t="s">
        <v>126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3" ht="17.399999999999999" x14ac:dyDescent="0.6">
      <c r="A52" s="70" t="s">
        <v>170</v>
      </c>
      <c r="B52" s="70" t="s">
        <v>135</v>
      </c>
      <c r="C52" s="73" t="s">
        <v>136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ht="17.399999999999999" x14ac:dyDescent="0.6">
      <c r="A53" s="70" t="s">
        <v>173</v>
      </c>
      <c r="B53" s="70" t="s">
        <v>144</v>
      </c>
      <c r="C53" s="73" t="s">
        <v>145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 ht="17.399999999999999" x14ac:dyDescent="0.6">
      <c r="A54" s="70" t="s">
        <v>175</v>
      </c>
      <c r="B54" s="70" t="s">
        <v>153</v>
      </c>
      <c r="C54" s="73" t="s">
        <v>154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</row>
    <row r="55" spans="1:23" ht="17.399999999999999" x14ac:dyDescent="0.6">
      <c r="A55" s="70" t="s">
        <v>45</v>
      </c>
      <c r="B55" s="70" t="s">
        <v>163</v>
      </c>
      <c r="C55" s="73" t="s">
        <v>164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1:23" ht="13.2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ht="17.399999999999999" x14ac:dyDescent="0.6">
      <c r="A57" s="66"/>
      <c r="B57" s="73" t="s">
        <v>119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ht="17.399999999999999" x14ac:dyDescent="0.6">
      <c r="A58" s="66"/>
      <c r="B58" s="70" t="s">
        <v>210</v>
      </c>
      <c r="C58" s="73" t="s">
        <v>113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ht="17.399999999999999" x14ac:dyDescent="0.6">
      <c r="A59" s="66"/>
      <c r="B59" s="70" t="s">
        <v>211</v>
      </c>
      <c r="C59" s="73" t="s">
        <v>102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ht="17.399999999999999" x14ac:dyDescent="0.6">
      <c r="A60" s="66"/>
      <c r="B60" s="70" t="s">
        <v>212</v>
      </c>
      <c r="C60" s="73" t="s">
        <v>104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13.2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13.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ht="13.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ht="13.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ht="13.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13.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ht="13.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13.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13.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ht="13.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13.2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  <row r="72" spans="1:23" ht="13.2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13.2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13.2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  <row r="75" spans="1:23" ht="13.2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</row>
    <row r="76" spans="1:23" ht="13.2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</row>
    <row r="77" spans="1:23" ht="13.2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</row>
    <row r="78" spans="1:23" ht="13.2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</row>
    <row r="79" spans="1:23" ht="13.2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</row>
    <row r="80" spans="1:23" ht="13.2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</row>
    <row r="81" spans="1:23" ht="13.2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</row>
    <row r="82" spans="1:23" ht="13.2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</row>
    <row r="83" spans="1:23" ht="13.2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3.2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</row>
    <row r="85" spans="1:23" ht="13.2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</row>
    <row r="86" spans="1:23" ht="13.2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</row>
    <row r="87" spans="1:23" ht="13.2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</row>
    <row r="88" spans="1:23" ht="13.2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</row>
    <row r="89" spans="1:23" ht="13.2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</row>
    <row r="90" spans="1:23" ht="13.2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</row>
    <row r="91" spans="1:23" ht="13.2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</row>
    <row r="92" spans="1:23" ht="13.2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</row>
    <row r="93" spans="1:23" ht="13.2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</row>
    <row r="94" spans="1:23" ht="13.2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</row>
    <row r="95" spans="1:23" ht="13.2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</row>
    <row r="96" spans="1:23" ht="13.2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</row>
    <row r="97" spans="1:23" ht="13.2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</row>
    <row r="98" spans="1:23" ht="13.2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</row>
    <row r="99" spans="1:23" ht="13.2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</row>
    <row r="100" spans="1:23" ht="13.2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ht="13.2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ht="13.2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ht="13.2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ht="13.2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ht="13.2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ht="13.2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ht="13.2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ht="13.2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3" ht="13.2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ht="13.2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ht="13.2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ht="13.2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ht="13.2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1:23" ht="13.2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</row>
    <row r="115" spans="1:23" ht="13.2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</row>
    <row r="116" spans="1:23" ht="13.2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</row>
    <row r="117" spans="1:23" ht="13.2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3" ht="13.2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</row>
    <row r="119" spans="1:23" ht="13.2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</row>
    <row r="120" spans="1:23" ht="13.2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</row>
    <row r="121" spans="1:23" ht="13.2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</row>
    <row r="122" spans="1:23" ht="13.2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</row>
    <row r="123" spans="1:23" ht="13.2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</row>
    <row r="124" spans="1:23" ht="13.2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</row>
    <row r="125" spans="1:23" ht="13.2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</row>
    <row r="126" spans="1:23" ht="13.2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</row>
    <row r="127" spans="1:23" ht="13.2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</row>
    <row r="128" spans="1:23" ht="13.2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</row>
    <row r="129" spans="1:23" ht="13.2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</row>
    <row r="130" spans="1:23" ht="13.2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</row>
    <row r="131" spans="1:23" ht="13.2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</row>
    <row r="132" spans="1:23" ht="13.2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</row>
    <row r="133" spans="1:23" ht="13.2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</row>
    <row r="134" spans="1:23" ht="13.2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</row>
    <row r="135" spans="1:23" ht="13.2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</row>
    <row r="136" spans="1:23" ht="13.2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</row>
    <row r="137" spans="1:23" ht="13.2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</row>
    <row r="138" spans="1:23" ht="13.2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</row>
    <row r="139" spans="1:23" ht="13.2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</row>
    <row r="140" spans="1:23" ht="13.2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</row>
    <row r="141" spans="1:23" ht="13.2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</row>
    <row r="142" spans="1:23" ht="13.2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</row>
    <row r="143" spans="1:23" ht="13.2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</row>
    <row r="144" spans="1:23" ht="13.2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</row>
    <row r="145" spans="1:23" ht="13.2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</row>
    <row r="146" spans="1:23" ht="13.2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</row>
    <row r="147" spans="1:23" ht="13.2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</row>
    <row r="148" spans="1:23" ht="13.2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</row>
    <row r="149" spans="1:23" ht="13.2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</row>
    <row r="150" spans="1:23" ht="13.2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</row>
    <row r="151" spans="1:23" ht="13.2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</row>
    <row r="152" spans="1:23" ht="13.2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</row>
    <row r="153" spans="1:23" ht="13.2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</row>
    <row r="154" spans="1:23" ht="13.2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</row>
    <row r="155" spans="1:23" ht="13.2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</row>
    <row r="156" spans="1:23" ht="13.2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</row>
    <row r="157" spans="1:23" ht="13.2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</row>
    <row r="158" spans="1:23" ht="13.2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</row>
    <row r="159" spans="1:23" ht="13.2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</row>
    <row r="160" spans="1:23" ht="13.2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</row>
    <row r="161" spans="1:23" ht="13.2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</row>
    <row r="162" spans="1:23" ht="13.2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</row>
    <row r="163" spans="1:23" ht="13.2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</row>
    <row r="164" spans="1:23" ht="13.2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</row>
    <row r="165" spans="1:23" ht="13.2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</row>
    <row r="166" spans="1:23" ht="13.2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</row>
    <row r="167" spans="1:23" ht="13.2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</row>
    <row r="168" spans="1:23" ht="13.2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</row>
    <row r="169" spans="1:23" ht="13.2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</row>
    <row r="170" spans="1:23" ht="13.2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</row>
    <row r="171" spans="1:23" ht="13.2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</row>
    <row r="172" spans="1:23" ht="13.2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</row>
    <row r="173" spans="1:23" ht="13.2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</row>
    <row r="174" spans="1:23" ht="13.2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</row>
    <row r="175" spans="1:23" ht="13.2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</row>
    <row r="176" spans="1:23" ht="13.2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</row>
    <row r="177" spans="1:23" ht="13.2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</row>
    <row r="178" spans="1:23" ht="13.2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</row>
    <row r="179" spans="1:23" ht="13.2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</row>
    <row r="180" spans="1:23" ht="13.2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</row>
    <row r="181" spans="1:23" ht="13.2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</row>
    <row r="182" spans="1:23" ht="13.2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</row>
    <row r="183" spans="1:23" ht="13.2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</row>
    <row r="184" spans="1:23" ht="13.2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</row>
    <row r="185" spans="1:23" ht="13.2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</row>
    <row r="186" spans="1:23" ht="13.2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</row>
    <row r="187" spans="1:23" ht="13.2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</row>
    <row r="188" spans="1:23" ht="13.2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</row>
    <row r="189" spans="1:23" ht="13.2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</row>
    <row r="190" spans="1:23" ht="13.2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</row>
    <row r="191" spans="1:23" ht="13.2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</row>
    <row r="192" spans="1:23" ht="13.2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</row>
    <row r="193" spans="1:23" ht="13.2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</row>
    <row r="194" spans="1:23" ht="13.2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</row>
    <row r="195" spans="1:23" ht="13.2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</row>
    <row r="196" spans="1:23" ht="13.2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</row>
    <row r="197" spans="1:23" ht="13.2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</row>
    <row r="198" spans="1:23" ht="13.2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</row>
    <row r="199" spans="1:23" ht="13.2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</row>
    <row r="200" spans="1:23" ht="13.2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</row>
    <row r="201" spans="1:23" ht="13.2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</row>
    <row r="202" spans="1:23" ht="13.2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</row>
    <row r="203" spans="1:23" ht="13.2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ht="13.2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</row>
    <row r="205" spans="1:23" ht="13.2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</row>
    <row r="206" spans="1:23" ht="13.2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ht="13.2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</row>
    <row r="208" spans="1:23" ht="13.2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1:23" ht="13.2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</row>
    <row r="210" spans="1:23" ht="13.2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</row>
    <row r="211" spans="1:23" ht="13.2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</row>
    <row r="212" spans="1:23" ht="13.2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</row>
    <row r="213" spans="1:23" ht="13.2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</row>
    <row r="214" spans="1:23" ht="13.2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</row>
    <row r="215" spans="1:23" ht="13.2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</row>
    <row r="216" spans="1:23" ht="13.2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</row>
    <row r="217" spans="1:23" ht="13.2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</row>
    <row r="218" spans="1:23" ht="13.2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</row>
    <row r="219" spans="1:23" ht="13.2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</row>
    <row r="220" spans="1:23" ht="13.2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</row>
    <row r="221" spans="1:23" ht="13.2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</row>
    <row r="222" spans="1:23" ht="13.2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</row>
    <row r="223" spans="1:23" ht="13.2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</row>
    <row r="224" spans="1:23" ht="13.2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</row>
    <row r="225" spans="1:23" ht="13.2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</row>
    <row r="226" spans="1:23" ht="13.2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</row>
    <row r="227" spans="1:23" ht="13.2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</row>
    <row r="228" spans="1:23" ht="13.2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</row>
    <row r="229" spans="1:23" ht="13.2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</row>
    <row r="230" spans="1:23" ht="13.2" x14ac:dyDescent="0.25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</row>
    <row r="231" spans="1:23" ht="13.2" x14ac:dyDescent="0.25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</row>
    <row r="232" spans="1:23" ht="13.2" x14ac:dyDescent="0.25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</row>
    <row r="233" spans="1:23" ht="13.2" x14ac:dyDescent="0.25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</row>
    <row r="234" spans="1:23" ht="13.2" x14ac:dyDescent="0.2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</row>
    <row r="235" spans="1:23" ht="13.2" x14ac:dyDescent="0.2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</row>
    <row r="236" spans="1:23" ht="13.2" x14ac:dyDescent="0.2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</row>
    <row r="237" spans="1:23" ht="13.2" x14ac:dyDescent="0.2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</row>
    <row r="238" spans="1:23" ht="13.2" x14ac:dyDescent="0.25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</row>
    <row r="239" spans="1:23" ht="13.2" x14ac:dyDescent="0.25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</row>
    <row r="240" spans="1:23" ht="13.2" x14ac:dyDescent="0.25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</row>
    <row r="241" spans="1:23" ht="13.2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</row>
    <row r="242" spans="1:23" ht="13.2" x14ac:dyDescent="0.25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</row>
    <row r="243" spans="1:23" ht="13.2" x14ac:dyDescent="0.25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</row>
    <row r="244" spans="1:23" ht="13.2" x14ac:dyDescent="0.25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</row>
    <row r="245" spans="1:23" ht="13.2" x14ac:dyDescent="0.2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</row>
    <row r="246" spans="1:23" ht="13.2" x14ac:dyDescent="0.25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</row>
    <row r="247" spans="1:23" ht="13.2" x14ac:dyDescent="0.25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</row>
    <row r="248" spans="1:23" ht="13.2" x14ac:dyDescent="0.25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</row>
    <row r="249" spans="1:23" ht="13.2" x14ac:dyDescent="0.25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</row>
    <row r="250" spans="1:23" ht="13.2" x14ac:dyDescent="0.25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</row>
    <row r="251" spans="1:23" ht="13.2" x14ac:dyDescent="0.25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</row>
    <row r="252" spans="1:23" ht="13.2" x14ac:dyDescent="0.25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</row>
    <row r="253" spans="1:23" ht="13.2" x14ac:dyDescent="0.25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</row>
    <row r="254" spans="1:23" ht="13.2" x14ac:dyDescent="0.25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</row>
    <row r="255" spans="1:23" ht="13.2" x14ac:dyDescent="0.2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</row>
    <row r="256" spans="1:23" ht="13.2" x14ac:dyDescent="0.25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</row>
    <row r="257" spans="1:23" ht="13.2" x14ac:dyDescent="0.25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</row>
    <row r="258" spans="1:23" ht="13.2" x14ac:dyDescent="0.25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</row>
    <row r="259" spans="1:23" ht="13.2" x14ac:dyDescent="0.25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</row>
    <row r="260" spans="1:23" ht="13.2" x14ac:dyDescent="0.25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</row>
    <row r="261" spans="1:23" ht="13.2" x14ac:dyDescent="0.25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</row>
    <row r="262" spans="1:23" ht="13.2" x14ac:dyDescent="0.25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</row>
    <row r="263" spans="1:23" ht="13.2" x14ac:dyDescent="0.25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</row>
    <row r="264" spans="1:23" ht="13.2" x14ac:dyDescent="0.25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</row>
    <row r="265" spans="1:23" ht="13.2" x14ac:dyDescent="0.2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</row>
    <row r="266" spans="1:23" ht="13.2" x14ac:dyDescent="0.25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</row>
    <row r="267" spans="1:23" ht="13.2" x14ac:dyDescent="0.25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</row>
    <row r="268" spans="1:23" ht="13.2" x14ac:dyDescent="0.25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</row>
    <row r="269" spans="1:23" ht="13.2" x14ac:dyDescent="0.25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</row>
    <row r="270" spans="1:23" ht="13.2" x14ac:dyDescent="0.25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</row>
    <row r="271" spans="1:23" ht="13.2" x14ac:dyDescent="0.25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</row>
    <row r="272" spans="1:23" ht="13.2" x14ac:dyDescent="0.25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</row>
    <row r="273" spans="1:23" ht="13.2" x14ac:dyDescent="0.25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</row>
    <row r="274" spans="1:23" ht="13.2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</row>
    <row r="275" spans="1:23" ht="13.2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</row>
    <row r="276" spans="1:23" ht="13.2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</row>
    <row r="277" spans="1:23" ht="13.2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</row>
    <row r="278" spans="1:23" ht="13.2" x14ac:dyDescent="0.25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</row>
    <row r="279" spans="1:23" ht="13.2" x14ac:dyDescent="0.25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</row>
    <row r="280" spans="1:23" ht="13.2" x14ac:dyDescent="0.25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</row>
    <row r="281" spans="1:23" ht="13.2" x14ac:dyDescent="0.25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</row>
    <row r="282" spans="1:23" ht="13.2" x14ac:dyDescent="0.25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</row>
    <row r="283" spans="1:23" ht="13.2" x14ac:dyDescent="0.25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</row>
    <row r="284" spans="1:23" ht="13.2" x14ac:dyDescent="0.25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</row>
    <row r="285" spans="1:23" ht="13.2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</row>
    <row r="286" spans="1:23" ht="13.2" x14ac:dyDescent="0.25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</row>
    <row r="287" spans="1:23" ht="13.2" x14ac:dyDescent="0.25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</row>
    <row r="288" spans="1:23" ht="13.2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</row>
    <row r="289" spans="1:23" ht="13.2" x14ac:dyDescent="0.25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</row>
    <row r="290" spans="1:23" ht="13.2" x14ac:dyDescent="0.25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</row>
    <row r="291" spans="1:23" ht="13.2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</row>
    <row r="292" spans="1:23" ht="13.2" x14ac:dyDescent="0.25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</row>
    <row r="293" spans="1:23" ht="13.2" x14ac:dyDescent="0.25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</row>
    <row r="294" spans="1:23" ht="13.2" x14ac:dyDescent="0.25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</row>
    <row r="295" spans="1:23" ht="13.2" x14ac:dyDescent="0.2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</row>
    <row r="296" spans="1:23" ht="13.2" x14ac:dyDescent="0.25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</row>
    <row r="297" spans="1:23" ht="13.2" x14ac:dyDescent="0.25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</row>
    <row r="298" spans="1:23" ht="13.2" x14ac:dyDescent="0.25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</row>
    <row r="299" spans="1:23" ht="13.2" x14ac:dyDescent="0.25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</row>
    <row r="300" spans="1:23" ht="13.2" x14ac:dyDescent="0.25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</row>
    <row r="301" spans="1:23" ht="13.2" x14ac:dyDescent="0.25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</row>
    <row r="302" spans="1:23" ht="13.2" x14ac:dyDescent="0.25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</row>
    <row r="303" spans="1:23" ht="13.2" x14ac:dyDescent="0.25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</row>
    <row r="304" spans="1:23" ht="13.2" x14ac:dyDescent="0.25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</row>
    <row r="305" spans="1:23" ht="13.2" x14ac:dyDescent="0.2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</row>
    <row r="306" spans="1:23" ht="13.2" x14ac:dyDescent="0.25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</row>
    <row r="307" spans="1:23" ht="13.2" x14ac:dyDescent="0.25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</row>
    <row r="308" spans="1:23" ht="13.2" x14ac:dyDescent="0.25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</row>
    <row r="309" spans="1:23" ht="13.2" x14ac:dyDescent="0.25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</row>
    <row r="310" spans="1:23" ht="13.2" x14ac:dyDescent="0.25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</row>
    <row r="311" spans="1:23" ht="13.2" x14ac:dyDescent="0.25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</row>
    <row r="312" spans="1:23" ht="13.2" x14ac:dyDescent="0.25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</row>
    <row r="313" spans="1:23" ht="13.2" x14ac:dyDescent="0.25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</row>
    <row r="314" spans="1:23" ht="13.2" x14ac:dyDescent="0.25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</row>
    <row r="315" spans="1:23" ht="13.2" x14ac:dyDescent="0.2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</row>
    <row r="316" spans="1:23" ht="13.2" x14ac:dyDescent="0.25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</row>
    <row r="317" spans="1:23" ht="13.2" x14ac:dyDescent="0.25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</row>
    <row r="318" spans="1:23" ht="13.2" x14ac:dyDescent="0.25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</row>
    <row r="319" spans="1:23" ht="13.2" x14ac:dyDescent="0.25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</row>
    <row r="320" spans="1:23" ht="13.2" x14ac:dyDescent="0.25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</row>
    <row r="321" spans="1:23" ht="13.2" x14ac:dyDescent="0.25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</row>
    <row r="322" spans="1:23" ht="13.2" x14ac:dyDescent="0.25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</row>
    <row r="323" spans="1:23" ht="13.2" x14ac:dyDescent="0.25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</row>
    <row r="324" spans="1:23" ht="13.2" x14ac:dyDescent="0.25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</row>
    <row r="325" spans="1:23" ht="13.2" x14ac:dyDescent="0.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</row>
    <row r="326" spans="1:23" ht="13.2" x14ac:dyDescent="0.25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</row>
    <row r="327" spans="1:23" ht="13.2" x14ac:dyDescent="0.25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</row>
    <row r="328" spans="1:23" ht="13.2" x14ac:dyDescent="0.25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</row>
    <row r="329" spans="1:23" ht="13.2" x14ac:dyDescent="0.25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</row>
    <row r="330" spans="1:23" ht="13.2" x14ac:dyDescent="0.25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</row>
    <row r="331" spans="1:23" ht="13.2" x14ac:dyDescent="0.25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</row>
    <row r="332" spans="1:23" ht="13.2" x14ac:dyDescent="0.25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</row>
    <row r="333" spans="1:23" ht="13.2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</row>
    <row r="334" spans="1:23" ht="13.2" x14ac:dyDescent="0.25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</row>
    <row r="335" spans="1:23" ht="13.2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</row>
    <row r="336" spans="1:23" ht="13.2" x14ac:dyDescent="0.25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</row>
    <row r="337" spans="1:23" ht="13.2" x14ac:dyDescent="0.25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</row>
    <row r="338" spans="1:23" ht="13.2" x14ac:dyDescent="0.25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</row>
    <row r="339" spans="1:23" ht="13.2" x14ac:dyDescent="0.25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</row>
    <row r="340" spans="1:23" ht="13.2" x14ac:dyDescent="0.25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</row>
    <row r="341" spans="1:23" ht="13.2" x14ac:dyDescent="0.25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</row>
    <row r="342" spans="1:23" ht="13.2" x14ac:dyDescent="0.2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</row>
    <row r="343" spans="1:23" ht="13.2" x14ac:dyDescent="0.25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</row>
    <row r="344" spans="1:23" ht="13.2" x14ac:dyDescent="0.25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</row>
    <row r="345" spans="1:23" ht="13.2" x14ac:dyDescent="0.2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</row>
    <row r="346" spans="1:23" ht="13.2" x14ac:dyDescent="0.25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pans="1:23" ht="13.2" x14ac:dyDescent="0.25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pans="1:23" ht="13.2" x14ac:dyDescent="0.25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pans="1:23" ht="13.2" x14ac:dyDescent="0.25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pans="1:23" ht="13.2" x14ac:dyDescent="0.25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pans="1:23" ht="13.2" x14ac:dyDescent="0.25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pans="1:23" ht="13.2" x14ac:dyDescent="0.25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pans="1:23" ht="13.2" x14ac:dyDescent="0.25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pans="1:23" ht="13.2" x14ac:dyDescent="0.25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pans="1:23" ht="13.2" x14ac:dyDescent="0.2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pans="1:23" ht="13.2" x14ac:dyDescent="0.25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pans="1:23" ht="13.2" x14ac:dyDescent="0.25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pans="1:23" ht="13.2" x14ac:dyDescent="0.25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pans="1:23" ht="13.2" x14ac:dyDescent="0.25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pans="1:23" ht="13.2" x14ac:dyDescent="0.25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pans="1:23" ht="13.2" x14ac:dyDescent="0.25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pans="1:23" ht="13.2" x14ac:dyDescent="0.25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pans="1:23" ht="13.2" x14ac:dyDescent="0.25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pans="1:23" ht="13.2" x14ac:dyDescent="0.25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pans="1:23" ht="13.2" x14ac:dyDescent="0.2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pans="1:23" ht="13.2" x14ac:dyDescent="0.25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pans="1:23" ht="13.2" x14ac:dyDescent="0.25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pans="1:23" ht="13.2" x14ac:dyDescent="0.25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pans="1:23" ht="13.2" x14ac:dyDescent="0.25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pans="1:23" ht="13.2" x14ac:dyDescent="0.25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pans="1:23" ht="13.2" x14ac:dyDescent="0.25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pans="1:23" ht="13.2" x14ac:dyDescent="0.25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pans="1:23" ht="13.2" x14ac:dyDescent="0.25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pans="1:23" ht="13.2" x14ac:dyDescent="0.25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pans="1:23" ht="13.2" x14ac:dyDescent="0.2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pans="1:23" ht="13.2" x14ac:dyDescent="0.25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pans="1:23" ht="13.2" x14ac:dyDescent="0.25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1:23" ht="13.2" x14ac:dyDescent="0.25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pans="1:23" ht="13.2" x14ac:dyDescent="0.25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pans="1:23" ht="13.2" x14ac:dyDescent="0.25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pans="1:23" ht="13.2" x14ac:dyDescent="0.25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pans="1:23" ht="13.2" x14ac:dyDescent="0.25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pans="1:23" ht="13.2" x14ac:dyDescent="0.25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pans="1:23" ht="13.2" x14ac:dyDescent="0.25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pans="1:23" ht="13.2" x14ac:dyDescent="0.2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pans="1:23" ht="13.2" x14ac:dyDescent="0.25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pans="1:23" ht="13.2" x14ac:dyDescent="0.25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pans="1:23" ht="13.2" x14ac:dyDescent="0.25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pans="1:23" ht="13.2" x14ac:dyDescent="0.25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pans="1:23" ht="13.2" x14ac:dyDescent="0.25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pans="1:23" ht="13.2" x14ac:dyDescent="0.25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pans="1:23" ht="13.2" x14ac:dyDescent="0.25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pans="1:23" ht="13.2" x14ac:dyDescent="0.25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pans="1:23" ht="13.2" x14ac:dyDescent="0.25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pans="1:23" ht="13.2" x14ac:dyDescent="0.2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pans="1:23" ht="13.2" x14ac:dyDescent="0.25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pans="1:23" ht="13.2" x14ac:dyDescent="0.25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pans="1:23" ht="13.2" x14ac:dyDescent="0.25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pans="1:23" ht="13.2" x14ac:dyDescent="0.25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pans="1:23" ht="13.2" x14ac:dyDescent="0.25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pans="1:23" ht="13.2" x14ac:dyDescent="0.25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pans="1:23" ht="13.2" x14ac:dyDescent="0.25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pans="1:23" ht="13.2" x14ac:dyDescent="0.25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pans="1:23" ht="13.2" x14ac:dyDescent="0.25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pans="1:23" ht="13.2" x14ac:dyDescent="0.2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pans="1:23" ht="13.2" x14ac:dyDescent="0.25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pans="1:23" ht="13.2" x14ac:dyDescent="0.25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pans="1:23" ht="13.2" x14ac:dyDescent="0.2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pans="1:23" ht="13.2" x14ac:dyDescent="0.25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pans="1:23" ht="13.2" x14ac:dyDescent="0.25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pans="1:23" ht="13.2" x14ac:dyDescent="0.25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pans="1:23" ht="13.2" x14ac:dyDescent="0.25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pans="1:23" ht="13.2" x14ac:dyDescent="0.25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pans="1:23" ht="13.2" x14ac:dyDescent="0.25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pans="1:23" ht="13.2" x14ac:dyDescent="0.2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pans="1:23" ht="13.2" x14ac:dyDescent="0.25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pans="1:23" ht="13.2" x14ac:dyDescent="0.25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pans="1:23" ht="13.2" x14ac:dyDescent="0.25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pans="1:23" ht="13.2" x14ac:dyDescent="0.25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pans="1:23" ht="13.2" x14ac:dyDescent="0.25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pans="1:23" ht="13.2" x14ac:dyDescent="0.25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pans="1:23" ht="13.2" x14ac:dyDescent="0.25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pans="1:23" ht="13.2" x14ac:dyDescent="0.25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pans="1:23" ht="13.2" x14ac:dyDescent="0.25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pans="1:23" ht="13.2" x14ac:dyDescent="0.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pans="1:23" ht="13.2" x14ac:dyDescent="0.25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pans="1:23" ht="13.2" x14ac:dyDescent="0.25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pans="1:23" ht="13.2" x14ac:dyDescent="0.25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pans="1:23" ht="13.2" x14ac:dyDescent="0.25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pans="1:23" ht="13.2" x14ac:dyDescent="0.25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pans="1:23" ht="13.2" x14ac:dyDescent="0.25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</row>
    <row r="432" spans="1:23" ht="13.2" x14ac:dyDescent="0.25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pans="1:23" ht="13.2" x14ac:dyDescent="0.25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pans="1:23" ht="13.2" x14ac:dyDescent="0.25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pans="1:23" ht="13.2" x14ac:dyDescent="0.2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pans="1:23" ht="13.2" x14ac:dyDescent="0.25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pans="1:23" ht="13.2" x14ac:dyDescent="0.25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pans="1:23" ht="13.2" x14ac:dyDescent="0.25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pans="1:23" ht="13.2" x14ac:dyDescent="0.25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pans="1:23" ht="13.2" x14ac:dyDescent="0.25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pans="1:23" ht="13.2" x14ac:dyDescent="0.25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pans="1:23" ht="13.2" x14ac:dyDescent="0.25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pans="1:23" ht="13.2" x14ac:dyDescent="0.25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pans="1:23" ht="13.2" x14ac:dyDescent="0.25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pans="1:23" ht="13.2" x14ac:dyDescent="0.2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pans="1:23" ht="13.2" x14ac:dyDescent="0.25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pans="1:23" ht="13.2" x14ac:dyDescent="0.25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pans="1:23" ht="13.2" x14ac:dyDescent="0.25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pans="1:23" ht="13.2" x14ac:dyDescent="0.25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pans="1:23" ht="13.2" x14ac:dyDescent="0.25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pans="1:23" ht="13.2" x14ac:dyDescent="0.25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pans="1:23" ht="13.2" x14ac:dyDescent="0.25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pans="1:23" ht="13.2" x14ac:dyDescent="0.25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pans="1:23" ht="13.2" x14ac:dyDescent="0.25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pans="1:23" ht="13.2" x14ac:dyDescent="0.2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pans="1:23" ht="13.2" x14ac:dyDescent="0.25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</row>
    <row r="457" spans="1:23" ht="13.2" x14ac:dyDescent="0.25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pans="1:23" ht="13.2" x14ac:dyDescent="0.25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pans="1:23" ht="13.2" x14ac:dyDescent="0.25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pans="1:23" ht="13.2" x14ac:dyDescent="0.25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pans="1:23" ht="13.2" x14ac:dyDescent="0.25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pans="1:23" ht="13.2" x14ac:dyDescent="0.25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pans="1:23" ht="13.2" x14ac:dyDescent="0.25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pans="1:23" ht="13.2" x14ac:dyDescent="0.25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pans="1:23" ht="13.2" x14ac:dyDescent="0.2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pans="1:23" ht="13.2" x14ac:dyDescent="0.25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pans="1:23" ht="13.2" x14ac:dyDescent="0.25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pans="1:23" ht="13.2" x14ac:dyDescent="0.25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pans="1:23" ht="13.2" x14ac:dyDescent="0.25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</row>
    <row r="470" spans="1:23" ht="13.2" x14ac:dyDescent="0.25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pans="1:23" ht="13.2" x14ac:dyDescent="0.25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pans="1:23" ht="13.2" x14ac:dyDescent="0.25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pans="1:23" ht="13.2" x14ac:dyDescent="0.25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pans="1:23" ht="13.2" x14ac:dyDescent="0.2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pans="1:23" ht="13.2" x14ac:dyDescent="0.2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pans="1:23" ht="13.2" x14ac:dyDescent="0.25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pans="1:23" ht="13.2" x14ac:dyDescent="0.25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pans="1:23" ht="13.2" x14ac:dyDescent="0.25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pans="1:23" ht="13.2" x14ac:dyDescent="0.25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pans="1:23" ht="13.2" x14ac:dyDescent="0.25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pans="1:23" ht="13.2" x14ac:dyDescent="0.25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pans="1:23" ht="13.2" x14ac:dyDescent="0.25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pans="1:23" ht="13.2" x14ac:dyDescent="0.25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pans="1:23" ht="13.2" x14ac:dyDescent="0.25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pans="1:23" ht="13.2" x14ac:dyDescent="0.2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pans="1:23" ht="13.2" x14ac:dyDescent="0.25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pans="1:23" ht="13.2" x14ac:dyDescent="0.25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pans="1:23" ht="13.2" x14ac:dyDescent="0.25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pans="1:23" ht="13.2" x14ac:dyDescent="0.25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pans="1:23" ht="13.2" x14ac:dyDescent="0.25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pans="1:23" ht="13.2" x14ac:dyDescent="0.25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pans="1:23" ht="13.2" x14ac:dyDescent="0.25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pans="1:23" ht="13.2" x14ac:dyDescent="0.25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pans="1:23" ht="13.2" x14ac:dyDescent="0.25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pans="1:23" ht="13.2" x14ac:dyDescent="0.2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pans="1:23" ht="13.2" x14ac:dyDescent="0.25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pans="1:23" ht="13.2" x14ac:dyDescent="0.25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pans="1:23" ht="13.2" x14ac:dyDescent="0.25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pans="1:23" ht="13.2" x14ac:dyDescent="0.25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pans="1:23" ht="13.2" x14ac:dyDescent="0.25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pans="1:23" ht="13.2" x14ac:dyDescent="0.25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pans="1:23" ht="13.2" x14ac:dyDescent="0.25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pans="1:23" ht="13.2" x14ac:dyDescent="0.25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pans="1:23" ht="13.2" x14ac:dyDescent="0.25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pans="1:23" ht="13.2" x14ac:dyDescent="0.2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pans="1:23" ht="13.2" x14ac:dyDescent="0.25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pans="1:23" ht="13.2" x14ac:dyDescent="0.25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pans="1:23" ht="13.2" x14ac:dyDescent="0.25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</row>
    <row r="509" spans="1:23" ht="13.2" x14ac:dyDescent="0.25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pans="1:23" ht="13.2" x14ac:dyDescent="0.25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pans="1:23" ht="13.2" x14ac:dyDescent="0.25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pans="1:23" ht="13.2" x14ac:dyDescent="0.25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pans="1:23" ht="13.2" x14ac:dyDescent="0.25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pans="1:23" ht="13.2" x14ac:dyDescent="0.25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pans="1:23" ht="13.2" x14ac:dyDescent="0.2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pans="1:23" ht="13.2" x14ac:dyDescent="0.25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</row>
    <row r="517" spans="1:23" ht="13.2" x14ac:dyDescent="0.25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</row>
    <row r="518" spans="1:23" ht="13.2" x14ac:dyDescent="0.25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</row>
    <row r="519" spans="1:23" ht="13.2" x14ac:dyDescent="0.25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</row>
    <row r="520" spans="1:23" ht="13.2" x14ac:dyDescent="0.25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pans="1:23" ht="13.2" x14ac:dyDescent="0.25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pans="1:23" ht="13.2" x14ac:dyDescent="0.25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pans="1:23" ht="13.2" x14ac:dyDescent="0.25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pans="1:23" ht="13.2" x14ac:dyDescent="0.25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pans="1:23" ht="13.2" x14ac:dyDescent="0.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pans="1:23" ht="13.2" x14ac:dyDescent="0.25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pans="1:23" ht="13.2" x14ac:dyDescent="0.25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pans="1:23" ht="13.2" x14ac:dyDescent="0.25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pans="1:23" ht="13.2" x14ac:dyDescent="0.25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pans="1:23" ht="13.2" x14ac:dyDescent="0.25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pans="1:23" ht="13.2" x14ac:dyDescent="0.25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pans="1:23" ht="13.2" x14ac:dyDescent="0.25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pans="1:23" ht="13.2" x14ac:dyDescent="0.25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pans="1:23" ht="13.2" x14ac:dyDescent="0.25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pans="1:23" ht="13.2" x14ac:dyDescent="0.2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pans="1:23" ht="13.2" x14ac:dyDescent="0.25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pans="1:23" ht="13.2" x14ac:dyDescent="0.25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pans="1:23" ht="13.2" x14ac:dyDescent="0.25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pans="1:23" ht="13.2" x14ac:dyDescent="0.25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pans="1:23" ht="13.2" x14ac:dyDescent="0.2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pans="1:23" ht="13.2" x14ac:dyDescent="0.25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pans="1:23" ht="13.2" x14ac:dyDescent="0.25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pans="1:23" ht="13.2" x14ac:dyDescent="0.25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pans="1:23" ht="13.2" x14ac:dyDescent="0.25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pans="1:23" ht="13.2" x14ac:dyDescent="0.2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pans="1:23" ht="13.2" x14ac:dyDescent="0.25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pans="1:23" ht="13.2" x14ac:dyDescent="0.25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pans="1:23" ht="13.2" x14ac:dyDescent="0.25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pans="1:23" ht="13.2" x14ac:dyDescent="0.25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pans="1:23" ht="13.2" x14ac:dyDescent="0.25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pans="1:23" ht="13.2" x14ac:dyDescent="0.25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pans="1:23" ht="13.2" x14ac:dyDescent="0.25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pans="1:23" ht="13.2" x14ac:dyDescent="0.25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pans="1:23" ht="13.2" x14ac:dyDescent="0.25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pans="1:23" ht="13.2" x14ac:dyDescent="0.2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pans="1:23" ht="13.2" x14ac:dyDescent="0.25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pans="1:23" ht="13.2" x14ac:dyDescent="0.25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pans="1:23" ht="13.2" x14ac:dyDescent="0.25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pans="1:23" ht="13.2" x14ac:dyDescent="0.25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pans="1:23" ht="13.2" x14ac:dyDescent="0.25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pans="1:23" ht="13.2" x14ac:dyDescent="0.25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pans="1:23" ht="13.2" x14ac:dyDescent="0.25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pans="1:23" ht="13.2" x14ac:dyDescent="0.25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pans="1:23" ht="13.2" x14ac:dyDescent="0.25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pans="1:23" ht="13.2" x14ac:dyDescent="0.2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pans="1:23" ht="13.2" x14ac:dyDescent="0.25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pans="1:23" ht="13.2" x14ac:dyDescent="0.25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pans="1:23" ht="13.2" x14ac:dyDescent="0.25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pans="1:23" ht="13.2" x14ac:dyDescent="0.25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pans="1:23" ht="13.2" x14ac:dyDescent="0.25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pans="1:23" ht="13.2" x14ac:dyDescent="0.25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pans="1:23" ht="13.2" x14ac:dyDescent="0.25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pans="1:23" ht="13.2" x14ac:dyDescent="0.25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pans="1:23" ht="13.2" x14ac:dyDescent="0.25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pans="1:23" ht="13.2" x14ac:dyDescent="0.2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pans="1:23" ht="13.2" x14ac:dyDescent="0.25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pans="1:23" ht="13.2" x14ac:dyDescent="0.25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pans="1:23" ht="13.2" x14ac:dyDescent="0.25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pans="1:23" ht="13.2" x14ac:dyDescent="0.25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pans="1:23" ht="13.2" x14ac:dyDescent="0.25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pans="1:23" ht="13.2" x14ac:dyDescent="0.25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pans="1:23" ht="13.2" x14ac:dyDescent="0.25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pans="1:23" ht="13.2" x14ac:dyDescent="0.25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pans="1:23" ht="13.2" x14ac:dyDescent="0.25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pans="1:23" ht="13.2" x14ac:dyDescent="0.2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pans="1:23" ht="13.2" x14ac:dyDescent="0.25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pans="1:23" ht="13.2" x14ac:dyDescent="0.25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pans="1:23" ht="13.2" x14ac:dyDescent="0.25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pans="1:23" ht="13.2" x14ac:dyDescent="0.25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pans="1:23" ht="13.2" x14ac:dyDescent="0.25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pans="1:23" ht="13.2" x14ac:dyDescent="0.25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pans="1:23" ht="13.2" x14ac:dyDescent="0.25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pans="1:23" ht="13.2" x14ac:dyDescent="0.25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pans="1:23" ht="13.2" x14ac:dyDescent="0.25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pans="1:23" ht="13.2" x14ac:dyDescent="0.2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pans="1:23" ht="13.2" x14ac:dyDescent="0.25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pans="1:23" ht="13.2" x14ac:dyDescent="0.25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pans="1:23" ht="13.2" x14ac:dyDescent="0.25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pans="1:23" ht="13.2" x14ac:dyDescent="0.25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pans="1:23" ht="13.2" x14ac:dyDescent="0.25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pans="1:23" ht="13.2" x14ac:dyDescent="0.25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pans="1:23" ht="13.2" x14ac:dyDescent="0.25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pans="1:23" ht="13.2" x14ac:dyDescent="0.25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pans="1:23" ht="13.2" x14ac:dyDescent="0.25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pans="1:23" ht="13.2" x14ac:dyDescent="0.2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pans="1:23" ht="13.2" x14ac:dyDescent="0.2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pans="1:23" ht="13.2" x14ac:dyDescent="0.25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pans="1:23" ht="13.2" x14ac:dyDescent="0.25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pans="1:23" ht="13.2" x14ac:dyDescent="0.25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pans="1:23" ht="13.2" x14ac:dyDescent="0.25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pans="1:23" ht="13.2" x14ac:dyDescent="0.25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pans="1:23" ht="13.2" x14ac:dyDescent="0.25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pans="1:23" ht="13.2" x14ac:dyDescent="0.25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pans="1:23" ht="13.2" x14ac:dyDescent="0.25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pans="1:23" ht="13.2" x14ac:dyDescent="0.2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pans="1:23" ht="13.2" x14ac:dyDescent="0.25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pans="1:23" ht="13.2" x14ac:dyDescent="0.25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pans="1:23" ht="13.2" x14ac:dyDescent="0.25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pans="1:23" ht="13.2" x14ac:dyDescent="0.25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pans="1:23" ht="13.2" x14ac:dyDescent="0.25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pans="1:23" ht="13.2" x14ac:dyDescent="0.25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pans="1:23" ht="13.2" x14ac:dyDescent="0.25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pans="1:23" ht="13.2" x14ac:dyDescent="0.25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pans="1:23" ht="13.2" x14ac:dyDescent="0.25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pans="1:23" ht="13.2" x14ac:dyDescent="0.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pans="1:23" ht="13.2" x14ac:dyDescent="0.25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pans="1:23" ht="13.2" x14ac:dyDescent="0.25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pans="1:23" ht="13.2" x14ac:dyDescent="0.25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pans="1:23" ht="13.2" x14ac:dyDescent="0.25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pans="1:23" ht="13.2" x14ac:dyDescent="0.25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pans="1:23" ht="13.2" x14ac:dyDescent="0.25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pans="1:23" ht="13.2" x14ac:dyDescent="0.25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pans="1:23" ht="13.2" x14ac:dyDescent="0.25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pans="1:23" ht="13.2" x14ac:dyDescent="0.25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pans="1:23" ht="13.2" x14ac:dyDescent="0.2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pans="1:23" ht="13.2" x14ac:dyDescent="0.25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pans="1:23" ht="13.2" x14ac:dyDescent="0.25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pans="1:23" ht="13.2" x14ac:dyDescent="0.25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pans="1:23" ht="13.2" x14ac:dyDescent="0.25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pans="1:23" ht="13.2" x14ac:dyDescent="0.25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pans="1:23" ht="13.2" x14ac:dyDescent="0.25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pans="1:23" ht="13.2" x14ac:dyDescent="0.25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pans="1:23" ht="13.2" x14ac:dyDescent="0.25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pans="1:23" ht="13.2" x14ac:dyDescent="0.25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pans="1:23" ht="13.2" x14ac:dyDescent="0.2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pans="1:23" ht="13.2" x14ac:dyDescent="0.25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pans="1:23" ht="13.2" x14ac:dyDescent="0.25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pans="1:23" ht="13.2" x14ac:dyDescent="0.25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pans="1:23" ht="13.2" x14ac:dyDescent="0.25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pans="1:23" ht="13.2" x14ac:dyDescent="0.25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pans="1:23" ht="13.2" x14ac:dyDescent="0.25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pans="1:23" ht="13.2" x14ac:dyDescent="0.25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pans="1:23" ht="13.2" x14ac:dyDescent="0.25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pans="1:23" ht="13.2" x14ac:dyDescent="0.25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pans="1:23" ht="13.2" x14ac:dyDescent="0.2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pans="1:23" ht="13.2" x14ac:dyDescent="0.25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pans="1:23" ht="13.2" x14ac:dyDescent="0.25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pans="1:23" ht="13.2" x14ac:dyDescent="0.25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pans="1:23" ht="13.2" x14ac:dyDescent="0.25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pans="1:23" ht="13.2" x14ac:dyDescent="0.25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pans="1:23" ht="13.2" x14ac:dyDescent="0.25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pans="1:23" ht="13.2" x14ac:dyDescent="0.25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pans="1:23" ht="13.2" x14ac:dyDescent="0.25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pans="1:23" ht="13.2" x14ac:dyDescent="0.25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pans="1:23" ht="13.2" x14ac:dyDescent="0.2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pans="1:23" ht="13.2" x14ac:dyDescent="0.25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pans="1:23" ht="13.2" x14ac:dyDescent="0.25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pans="1:23" ht="13.2" x14ac:dyDescent="0.25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pans="1:23" ht="13.2" x14ac:dyDescent="0.25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pans="1:23" ht="13.2" x14ac:dyDescent="0.25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pans="1:23" ht="13.2" x14ac:dyDescent="0.25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pans="1:23" ht="13.2" x14ac:dyDescent="0.2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pans="1:23" ht="13.2" x14ac:dyDescent="0.25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pans="1:23" ht="13.2" x14ac:dyDescent="0.25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pans="1:23" ht="13.2" x14ac:dyDescent="0.2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pans="1:23" ht="13.2" x14ac:dyDescent="0.25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pans="1:23" ht="13.2" x14ac:dyDescent="0.25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pans="1:23" ht="13.2" x14ac:dyDescent="0.25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pans="1:23" ht="13.2" x14ac:dyDescent="0.25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pans="1:23" ht="13.2" x14ac:dyDescent="0.25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pans="1:23" ht="13.2" x14ac:dyDescent="0.25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pans="1:23" ht="13.2" x14ac:dyDescent="0.25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pans="1:23" ht="13.2" x14ac:dyDescent="0.25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pans="1:23" ht="13.2" x14ac:dyDescent="0.25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pans="1:23" ht="13.2" x14ac:dyDescent="0.2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pans="1:23" ht="13.2" x14ac:dyDescent="0.25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pans="1:23" ht="13.2" x14ac:dyDescent="0.25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pans="1:23" ht="13.2" x14ac:dyDescent="0.25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pans="1:23" ht="13.2" x14ac:dyDescent="0.25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pans="1:23" ht="13.2" x14ac:dyDescent="0.25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pans="1:23" ht="13.2" x14ac:dyDescent="0.25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pans="1:23" ht="13.2" x14ac:dyDescent="0.25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pans="1:23" ht="13.2" x14ac:dyDescent="0.25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pans="1:23" ht="13.2" x14ac:dyDescent="0.25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pans="1:23" ht="13.2" x14ac:dyDescent="0.2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pans="1:23" ht="13.2" x14ac:dyDescent="0.25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pans="1:23" ht="13.2" x14ac:dyDescent="0.25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pans="1:23" ht="13.2" x14ac:dyDescent="0.25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pans="1:23" ht="13.2" x14ac:dyDescent="0.25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pans="1:23" ht="13.2" x14ac:dyDescent="0.25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pans="1:23" ht="13.2" x14ac:dyDescent="0.25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pans="1:23" ht="13.2" x14ac:dyDescent="0.25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pans="1:23" ht="13.2" x14ac:dyDescent="0.25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pans="1:23" ht="13.2" x14ac:dyDescent="0.25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pans="1:23" ht="13.2" x14ac:dyDescent="0.2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pans="1:23" ht="13.2" x14ac:dyDescent="0.25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pans="1:23" ht="13.2" x14ac:dyDescent="0.25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pans="1:23" ht="13.2" x14ac:dyDescent="0.25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pans="1:23" ht="13.2" x14ac:dyDescent="0.25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pans="1:23" ht="13.2" x14ac:dyDescent="0.25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pans="1:23" ht="13.2" x14ac:dyDescent="0.25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pans="1:23" ht="13.2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pans="1:23" ht="13.2" x14ac:dyDescent="0.25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pans="1:23" ht="13.2" x14ac:dyDescent="0.25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pans="1:23" ht="13.2" x14ac:dyDescent="0.2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pans="1:23" ht="13.2" x14ac:dyDescent="0.25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pans="1:23" ht="13.2" x14ac:dyDescent="0.25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pans="1:23" ht="13.2" x14ac:dyDescent="0.25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pans="1:23" ht="13.2" x14ac:dyDescent="0.25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pans="1:23" ht="13.2" x14ac:dyDescent="0.25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pans="1:23" ht="13.2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pans="1:23" ht="13.2" x14ac:dyDescent="0.25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pans="1:23" ht="13.2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pans="1:23" ht="13.2" x14ac:dyDescent="0.25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pans="1:23" ht="13.2" x14ac:dyDescent="0.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pans="1:23" ht="13.2" x14ac:dyDescent="0.25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pans="1:23" ht="13.2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pans="1:23" ht="13.2" x14ac:dyDescent="0.25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pans="1:23" ht="13.2" x14ac:dyDescent="0.25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pans="1:23" ht="13.2" x14ac:dyDescent="0.25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pans="1:23" ht="13.2" x14ac:dyDescent="0.25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pans="1:23" ht="13.2" x14ac:dyDescent="0.25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pans="1:23" ht="13.2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pans="1:23" ht="13.2" x14ac:dyDescent="0.25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pans="1:23" ht="13.2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pans="1:23" ht="13.2" x14ac:dyDescent="0.25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pans="1:23" ht="13.2" x14ac:dyDescent="0.25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pans="1:23" ht="13.2" x14ac:dyDescent="0.25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pans="1:23" ht="13.2" x14ac:dyDescent="0.25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pans="1:23" ht="13.2" x14ac:dyDescent="0.25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pans="1:23" ht="13.2" x14ac:dyDescent="0.25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pans="1:23" ht="13.2" x14ac:dyDescent="0.25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pans="1:23" ht="13.2" x14ac:dyDescent="0.25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pans="1:23" ht="13.2" x14ac:dyDescent="0.25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pans="1:23" ht="13.2" x14ac:dyDescent="0.2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pans="1:23" ht="13.2" x14ac:dyDescent="0.25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pans="1:23" ht="13.2" x14ac:dyDescent="0.25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pans="1:23" ht="13.2" x14ac:dyDescent="0.25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pans="1:23" ht="13.2" x14ac:dyDescent="0.25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pans="1:23" ht="13.2" x14ac:dyDescent="0.25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pans="1:23" ht="13.2" x14ac:dyDescent="0.25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pans="1:23" ht="13.2" x14ac:dyDescent="0.25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pans="1:23" ht="13.2" x14ac:dyDescent="0.25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pans="1:23" ht="13.2" x14ac:dyDescent="0.25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pans="1:23" ht="13.2" x14ac:dyDescent="0.2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pans="1:23" ht="13.2" x14ac:dyDescent="0.25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pans="1:23" ht="13.2" x14ac:dyDescent="0.25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pans="1:23" ht="13.2" x14ac:dyDescent="0.25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pans="1:23" ht="13.2" x14ac:dyDescent="0.25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pans="1:23" ht="13.2" x14ac:dyDescent="0.25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pans="1:23" ht="13.2" x14ac:dyDescent="0.25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pans="1:23" ht="13.2" x14ac:dyDescent="0.25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pans="1:23" ht="13.2" x14ac:dyDescent="0.25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pans="1:23" ht="13.2" x14ac:dyDescent="0.25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pans="1:23" ht="13.2" x14ac:dyDescent="0.2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pans="1:23" ht="13.2" x14ac:dyDescent="0.25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pans="1:23" ht="13.2" x14ac:dyDescent="0.25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pans="1:23" ht="13.2" x14ac:dyDescent="0.25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pans="1:23" ht="13.2" x14ac:dyDescent="0.25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pans="1:23" ht="13.2" x14ac:dyDescent="0.25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pans="1:23" ht="13.2" x14ac:dyDescent="0.25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pans="1:23" ht="13.2" x14ac:dyDescent="0.25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pans="1:23" ht="13.2" x14ac:dyDescent="0.25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pans="1:23" ht="13.2" x14ac:dyDescent="0.25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pans="1:23" ht="13.2" x14ac:dyDescent="0.2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pans="1:23" ht="13.2" x14ac:dyDescent="0.25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pans="1:23" ht="13.2" x14ac:dyDescent="0.25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pans="1:23" ht="13.2" x14ac:dyDescent="0.25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pans="1:23" ht="13.2" x14ac:dyDescent="0.25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pans="1:23" ht="13.2" x14ac:dyDescent="0.25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pans="1:23" ht="13.2" x14ac:dyDescent="0.25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pans="1:23" ht="13.2" x14ac:dyDescent="0.25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pans="1:23" ht="13.2" x14ac:dyDescent="0.25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pans="1:23" ht="13.2" x14ac:dyDescent="0.25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pans="1:23" ht="13.2" x14ac:dyDescent="0.2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pans="1:23" ht="13.2" x14ac:dyDescent="0.25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pans="1:23" ht="13.2" x14ac:dyDescent="0.25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pans="1:23" ht="13.2" x14ac:dyDescent="0.25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pans="1:23" ht="13.2" x14ac:dyDescent="0.25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pans="1:23" ht="13.2" x14ac:dyDescent="0.25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pans="1:23" ht="13.2" x14ac:dyDescent="0.25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pans="1:23" ht="13.2" x14ac:dyDescent="0.25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pans="1:23" ht="13.2" x14ac:dyDescent="0.25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pans="1:23" ht="13.2" x14ac:dyDescent="0.25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pans="1:23" ht="13.2" x14ac:dyDescent="0.2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pans="1:23" ht="13.2" x14ac:dyDescent="0.25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pans="1:23" ht="13.2" x14ac:dyDescent="0.25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pans="1:23" ht="13.2" x14ac:dyDescent="0.25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pans="1:23" ht="13.2" x14ac:dyDescent="0.25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pans="1:23" ht="13.2" x14ac:dyDescent="0.25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pans="1:23" ht="13.2" x14ac:dyDescent="0.25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pans="1:23" ht="13.2" x14ac:dyDescent="0.25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pans="1:23" ht="13.2" x14ac:dyDescent="0.25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pans="1:23" ht="13.2" x14ac:dyDescent="0.25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pans="1:23" ht="13.2" x14ac:dyDescent="0.2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pans="1:23" ht="13.2" x14ac:dyDescent="0.25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pans="1:23" ht="13.2" x14ac:dyDescent="0.25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pans="1:23" ht="13.2" x14ac:dyDescent="0.25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pans="1:23" ht="13.2" x14ac:dyDescent="0.25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pans="1:23" ht="13.2" x14ac:dyDescent="0.25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pans="1:23" ht="13.2" x14ac:dyDescent="0.25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pans="1:23" ht="13.2" x14ac:dyDescent="0.25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pans="1:23" ht="13.2" x14ac:dyDescent="0.25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pans="1:23" ht="13.2" x14ac:dyDescent="0.25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pans="1:23" ht="13.2" x14ac:dyDescent="0.2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pans="1:23" ht="13.2" x14ac:dyDescent="0.25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pans="1:23" ht="13.2" x14ac:dyDescent="0.25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pans="1:23" ht="13.2" x14ac:dyDescent="0.25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pans="1:23" ht="13.2" x14ac:dyDescent="0.25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pans="1:23" ht="13.2" x14ac:dyDescent="0.25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pans="1:23" ht="13.2" x14ac:dyDescent="0.25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pans="1:23" ht="13.2" x14ac:dyDescent="0.25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pans="1:23" ht="13.2" x14ac:dyDescent="0.25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pans="1:23" ht="13.2" x14ac:dyDescent="0.25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pans="1:23" ht="13.2" x14ac:dyDescent="0.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pans="1:23" ht="13.2" x14ac:dyDescent="0.25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pans="1:23" ht="13.2" x14ac:dyDescent="0.25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pans="1:23" ht="13.2" x14ac:dyDescent="0.25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pans="1:23" ht="13.2" x14ac:dyDescent="0.25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pans="1:23" ht="13.2" x14ac:dyDescent="0.25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pans="1:23" ht="13.2" x14ac:dyDescent="0.25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pans="1:23" ht="13.2" x14ac:dyDescent="0.25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pans="1:23" ht="13.2" x14ac:dyDescent="0.25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pans="1:23" ht="13.2" x14ac:dyDescent="0.25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pans="1:23" ht="13.2" x14ac:dyDescent="0.2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pans="1:23" ht="13.2" x14ac:dyDescent="0.25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pans="1:23" ht="13.2" x14ac:dyDescent="0.25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pans="1:23" ht="13.2" x14ac:dyDescent="0.25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pans="1:23" ht="13.2" x14ac:dyDescent="0.25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pans="1:23" ht="13.2" x14ac:dyDescent="0.25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pans="1:23" ht="13.2" x14ac:dyDescent="0.25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pans="1:23" ht="13.2" x14ac:dyDescent="0.25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pans="1:23" ht="13.2" x14ac:dyDescent="0.25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pans="1:23" ht="13.2" x14ac:dyDescent="0.25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pans="1:23" ht="13.2" x14ac:dyDescent="0.2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pans="1:23" ht="13.2" x14ac:dyDescent="0.25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pans="1:23" ht="13.2" x14ac:dyDescent="0.25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pans="1:23" ht="13.2" x14ac:dyDescent="0.25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pans="1:23" ht="13.2" x14ac:dyDescent="0.25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pans="1:23" ht="13.2" x14ac:dyDescent="0.25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pans="1:23" ht="13.2" x14ac:dyDescent="0.25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pans="1:23" ht="13.2" x14ac:dyDescent="0.25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pans="1:23" ht="13.2" x14ac:dyDescent="0.25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pans="1:23" ht="13.2" x14ac:dyDescent="0.25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pans="1:23" ht="13.2" x14ac:dyDescent="0.2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pans="1:23" ht="13.2" x14ac:dyDescent="0.25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pans="1:23" ht="13.2" x14ac:dyDescent="0.25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pans="1:23" ht="13.2" x14ac:dyDescent="0.25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pans="1:23" ht="13.2" x14ac:dyDescent="0.25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pans="1:23" ht="13.2" x14ac:dyDescent="0.25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pans="1:23" ht="13.2" x14ac:dyDescent="0.25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pans="1:23" ht="13.2" x14ac:dyDescent="0.25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pans="1:23" ht="13.2" x14ac:dyDescent="0.25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pans="1:23" ht="13.2" x14ac:dyDescent="0.25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pans="1:23" ht="13.2" x14ac:dyDescent="0.2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pans="1:23" ht="13.2" x14ac:dyDescent="0.25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pans="1:23" ht="13.2" x14ac:dyDescent="0.25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pans="1:23" ht="13.2" x14ac:dyDescent="0.25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pans="1:23" ht="13.2" x14ac:dyDescent="0.25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pans="1:23" ht="13.2" x14ac:dyDescent="0.25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pans="1:23" ht="13.2" x14ac:dyDescent="0.25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pans="1:23" ht="13.2" x14ac:dyDescent="0.25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pans="1:23" ht="13.2" x14ac:dyDescent="0.25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pans="1:23" ht="13.2" x14ac:dyDescent="0.25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pans="1:23" ht="13.2" x14ac:dyDescent="0.2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pans="1:23" ht="13.2" x14ac:dyDescent="0.25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pans="1:23" ht="13.2" x14ac:dyDescent="0.25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pans="1:23" ht="13.2" x14ac:dyDescent="0.25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pans="1:23" ht="13.2" x14ac:dyDescent="0.25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pans="1:23" ht="13.2" x14ac:dyDescent="0.25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pans="1:23" ht="13.2" x14ac:dyDescent="0.25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pans="1:23" ht="13.2" x14ac:dyDescent="0.25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pans="1:23" ht="13.2" x14ac:dyDescent="0.25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pans="1:23" ht="13.2" x14ac:dyDescent="0.25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pans="1:23" ht="13.2" x14ac:dyDescent="0.2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pans="1:23" ht="13.2" x14ac:dyDescent="0.25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pans="1:23" ht="13.2" x14ac:dyDescent="0.25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pans="1:23" ht="13.2" x14ac:dyDescent="0.25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pans="1:23" ht="13.2" x14ac:dyDescent="0.25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pans="1:23" ht="13.2" x14ac:dyDescent="0.25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pans="1:23" ht="13.2" x14ac:dyDescent="0.25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pans="1:23" ht="13.2" x14ac:dyDescent="0.25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pans="1:23" ht="13.2" x14ac:dyDescent="0.25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pans="1:23" ht="13.2" x14ac:dyDescent="0.25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pans="1:23" ht="13.2" x14ac:dyDescent="0.2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pans="1:23" ht="13.2" x14ac:dyDescent="0.25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pans="1:23" ht="13.2" x14ac:dyDescent="0.25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pans="1:23" ht="13.2" x14ac:dyDescent="0.25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pans="1:23" ht="13.2" x14ac:dyDescent="0.25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pans="1:23" ht="13.2" x14ac:dyDescent="0.25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pans="1:23" ht="13.2" x14ac:dyDescent="0.25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pans="1:23" ht="13.2" x14ac:dyDescent="0.25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pans="1:23" ht="13.2" x14ac:dyDescent="0.25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pans="1:23" ht="13.2" x14ac:dyDescent="0.25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pans="1:23" ht="13.2" x14ac:dyDescent="0.2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pans="1:23" ht="13.2" x14ac:dyDescent="0.25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pans="1:23" ht="13.2" x14ac:dyDescent="0.25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pans="1:23" ht="13.2" x14ac:dyDescent="0.25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pans="1:23" ht="13.2" x14ac:dyDescent="0.25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pans="1:23" ht="13.2" x14ac:dyDescent="0.25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pans="1:23" ht="13.2" x14ac:dyDescent="0.25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pans="1:23" ht="13.2" x14ac:dyDescent="0.25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pans="1:23" ht="13.2" x14ac:dyDescent="0.25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pans="1:23" ht="13.2" x14ac:dyDescent="0.25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pans="1:23" ht="13.2" x14ac:dyDescent="0.2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pans="1:23" ht="13.2" x14ac:dyDescent="0.25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pans="1:23" ht="13.2" x14ac:dyDescent="0.25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pans="1:23" ht="13.2" x14ac:dyDescent="0.25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pans="1:23" ht="13.2" x14ac:dyDescent="0.25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pans="1:23" ht="13.2" x14ac:dyDescent="0.25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pans="1:23" ht="13.2" x14ac:dyDescent="0.25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pans="1:23" ht="13.2" x14ac:dyDescent="0.25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pans="1:23" ht="13.2" x14ac:dyDescent="0.25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pans="1:23" ht="13.2" x14ac:dyDescent="0.25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pans="1:23" ht="13.2" x14ac:dyDescent="0.25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pans="1:23" ht="13.2" x14ac:dyDescent="0.25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pans="1:23" ht="13.2" x14ac:dyDescent="0.25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pans="1:23" ht="13.2" x14ac:dyDescent="0.25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pans="1:23" ht="13.2" x14ac:dyDescent="0.25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pans="1:23" ht="13.2" x14ac:dyDescent="0.25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pans="1:23" ht="13.2" x14ac:dyDescent="0.25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pans="1:23" ht="13.2" x14ac:dyDescent="0.25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pans="1:23" ht="13.2" x14ac:dyDescent="0.25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pans="1:23" ht="13.2" x14ac:dyDescent="0.25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pans="1:23" ht="13.2" x14ac:dyDescent="0.25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pans="1:23" ht="13.2" x14ac:dyDescent="0.25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pans="1:23" ht="13.2" x14ac:dyDescent="0.25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pans="1:23" ht="13.2" x14ac:dyDescent="0.25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pans="1:23" ht="13.2" x14ac:dyDescent="0.25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pans="1:23" ht="13.2" x14ac:dyDescent="0.25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pans="1:23" ht="13.2" x14ac:dyDescent="0.25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pans="1:23" ht="13.2" x14ac:dyDescent="0.25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pans="1:23" ht="13.2" x14ac:dyDescent="0.25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pans="1:23" ht="13.2" x14ac:dyDescent="0.25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pans="1:23" ht="13.2" x14ac:dyDescent="0.25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pans="1:23" ht="13.2" x14ac:dyDescent="0.25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pans="1:23" ht="13.2" x14ac:dyDescent="0.25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pans="1:23" ht="13.2" x14ac:dyDescent="0.25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pans="1:23" ht="13.2" x14ac:dyDescent="0.25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pans="1:23" ht="13.2" x14ac:dyDescent="0.25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pans="1:23" ht="13.2" x14ac:dyDescent="0.25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pans="1:23" ht="13.2" x14ac:dyDescent="0.25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pans="1:23" ht="13.2" x14ac:dyDescent="0.25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pans="1:23" ht="13.2" x14ac:dyDescent="0.25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pans="1:23" ht="13.2" x14ac:dyDescent="0.25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pans="1:23" ht="13.2" x14ac:dyDescent="0.25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pans="1:23" ht="13.2" x14ac:dyDescent="0.25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pans="1:23" ht="13.2" x14ac:dyDescent="0.25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pans="1:23" ht="13.2" x14ac:dyDescent="0.25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pans="1:23" ht="13.2" x14ac:dyDescent="0.25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pans="1:23" ht="13.2" x14ac:dyDescent="0.25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pans="1:23" ht="13.2" x14ac:dyDescent="0.25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pans="1:23" ht="13.2" x14ac:dyDescent="0.25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pans="1:23" ht="13.2" x14ac:dyDescent="0.25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pans="1:23" ht="13.2" x14ac:dyDescent="0.25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pans="1:23" ht="13.2" x14ac:dyDescent="0.25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pans="1:23" ht="13.2" x14ac:dyDescent="0.25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pans="1:23" ht="13.2" x14ac:dyDescent="0.25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pans="1:23" ht="13.2" x14ac:dyDescent="0.25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pans="1:23" ht="13.2" x14ac:dyDescent="0.25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pans="1:23" ht="13.2" x14ac:dyDescent="0.25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pans="1:23" ht="13.2" x14ac:dyDescent="0.25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pans="1:23" ht="13.2" x14ac:dyDescent="0.25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pans="1:23" ht="13.2" x14ac:dyDescent="0.25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pans="1:23" ht="13.2" x14ac:dyDescent="0.25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pans="1:23" ht="13.2" x14ac:dyDescent="0.25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pans="1:23" ht="13.2" x14ac:dyDescent="0.25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pans="1:23" ht="13.2" x14ac:dyDescent="0.25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pans="1:23" ht="13.2" x14ac:dyDescent="0.25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pans="1:23" ht="13.2" x14ac:dyDescent="0.25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pans="1:23" ht="13.2" x14ac:dyDescent="0.25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pans="1:23" ht="13.2" x14ac:dyDescent="0.25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pans="1:23" ht="13.2" x14ac:dyDescent="0.25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pans="1:23" ht="13.2" x14ac:dyDescent="0.25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pans="1:23" ht="13.2" x14ac:dyDescent="0.25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pans="1:23" ht="13.2" x14ac:dyDescent="0.25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pans="1:23" ht="13.2" x14ac:dyDescent="0.25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pans="1:23" ht="13.2" x14ac:dyDescent="0.25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pans="1:23" ht="13.2" x14ac:dyDescent="0.25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pans="1:23" ht="13.2" x14ac:dyDescent="0.25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pans="1:23" ht="13.2" x14ac:dyDescent="0.25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pans="1:23" ht="13.2" x14ac:dyDescent="0.25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pans="1:23" ht="13.2" x14ac:dyDescent="0.25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pans="1:23" ht="13.2" x14ac:dyDescent="0.25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pans="1:23" ht="13.2" x14ac:dyDescent="0.25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pans="1:23" ht="13.2" x14ac:dyDescent="0.25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pans="1:23" ht="13.2" x14ac:dyDescent="0.25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pans="1:23" ht="13.2" x14ac:dyDescent="0.25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pans="1:23" ht="13.2" x14ac:dyDescent="0.25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pans="1:23" ht="13.2" x14ac:dyDescent="0.25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pans="1:23" ht="13.2" x14ac:dyDescent="0.25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pans="1:23" ht="13.2" x14ac:dyDescent="0.25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pans="1:23" ht="13.2" x14ac:dyDescent="0.25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pans="1:23" ht="13.2" x14ac:dyDescent="0.25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pans="1:23" ht="13.2" x14ac:dyDescent="0.25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pans="1:23" ht="13.2" x14ac:dyDescent="0.25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</row>
    <row r="1007" spans="1:23" ht="13.2" x14ac:dyDescent="0.25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</row>
    <row r="1008" spans="1:23" ht="13.2" x14ac:dyDescent="0.25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</row>
    <row r="1009" spans="1:16" ht="13.2" x14ac:dyDescent="0.25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</row>
    <row r="1010" spans="1:16" ht="13.2" x14ac:dyDescent="0.25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</row>
    <row r="1011" spans="1:16" ht="13.2" x14ac:dyDescent="0.25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</row>
    <row r="1012" spans="1:16" ht="13.2" x14ac:dyDescent="0.25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</row>
    <row r="1013" spans="1:16" ht="13.2" x14ac:dyDescent="0.25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</row>
  </sheetData>
  <sheetProtection algorithmName="SHA-512" hashValue="3Wknu24YrAo3HvUg3XgjcSb6uudpnVi/McCWwRnE3jqp+J+N+p48pIuwdlW/xKX8sbssa/uOy0BWTZZOvekprw==" saltValue="YdqL9jGhlaKQAqjv6hJk0A==" spinCount="100000" sheet="1" objects="1" scenarios="1" selectLockedCells="1" selectUnlockedCells="1"/>
  <mergeCells count="9">
    <mergeCell ref="F17:G17"/>
    <mergeCell ref="F26:G26"/>
    <mergeCell ref="S10:T10"/>
    <mergeCell ref="V10:W10"/>
    <mergeCell ref="F13:G13"/>
    <mergeCell ref="I13:J13"/>
    <mergeCell ref="L13:M13"/>
    <mergeCell ref="O13:P13"/>
    <mergeCell ref="R13:S13"/>
  </mergeCells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</sheetPr>
  <dimension ref="A1:D88"/>
  <sheetViews>
    <sheetView workbookViewId="0">
      <selection activeCell="B2" sqref="B2"/>
    </sheetView>
  </sheetViews>
  <sheetFormatPr defaultColWidth="12.5546875" defaultRowHeight="15" customHeight="1" x14ac:dyDescent="0.25"/>
  <cols>
    <col min="1" max="1" width="22.109375" style="67" customWidth="1"/>
    <col min="2" max="16384" width="12.5546875" style="67"/>
  </cols>
  <sheetData>
    <row r="1" spans="1:1" ht="15" customHeight="1" x14ac:dyDescent="0.25">
      <c r="A1" s="71" t="s">
        <v>213</v>
      </c>
    </row>
    <row r="2" spans="1:1" ht="15" customHeight="1" x14ac:dyDescent="0.25">
      <c r="A2" s="67" t="s">
        <v>214</v>
      </c>
    </row>
    <row r="3" spans="1:1" ht="15" customHeight="1" x14ac:dyDescent="0.25">
      <c r="A3" s="67" t="s">
        <v>77</v>
      </c>
    </row>
    <row r="5" spans="1:1" ht="15" customHeight="1" x14ac:dyDescent="0.25">
      <c r="A5" s="71" t="s">
        <v>215</v>
      </c>
    </row>
    <row r="6" spans="1:1" ht="15" customHeight="1" x14ac:dyDescent="0.25">
      <c r="A6" s="67" t="b">
        <f>IF('SKU and Price builder'!B3="Plus","2 channels",IF('SKU and Price builder'!B3="Bodypack Converter","Bodypack Converter requires 3rd party transmitter and receiver"))</f>
        <v>0</v>
      </c>
    </row>
    <row r="7" spans="1:1" ht="15" customHeight="1" x14ac:dyDescent="0.25">
      <c r="A7" s="67" t="b">
        <f>IF('SKU and Price builder'!B3="Plus","4 channels",IF('SKU and Price builder'!B3="Bodypack Converter",""))</f>
        <v>0</v>
      </c>
    </row>
    <row r="10" spans="1:1" ht="15" customHeight="1" x14ac:dyDescent="0.25">
      <c r="A10" s="71" t="s">
        <v>216</v>
      </c>
    </row>
    <row r="11" spans="1:1" ht="15" customHeight="1" x14ac:dyDescent="0.25">
      <c r="A11" s="67" t="b">
        <f>IF('SKU and Price builder'!B3="Plus","No network &amp; Dante +0 EUR",IF('SKU and Price builder'!B3="Bodypack Converter","Networking is not possible for Bodypack Converter"))</f>
        <v>0</v>
      </c>
    </row>
    <row r="12" spans="1:1" ht="15" customHeight="1" x14ac:dyDescent="0.25">
      <c r="A12" s="67" t="b">
        <f>IF('SKU and Price builder'!B3="Plus","Network, PoE &amp; Dante +300 EUR",IF('SKU and Price builder'!B3="Bodypack Converter",""))</f>
        <v>0</v>
      </c>
    </row>
    <row r="14" spans="1:1" ht="15" customHeight="1" x14ac:dyDescent="0.25">
      <c r="A14" s="71" t="s">
        <v>217</v>
      </c>
    </row>
    <row r="15" spans="1:1" ht="15" customHeight="1" x14ac:dyDescent="0.25">
      <c r="A15" s="67" t="str">
        <f>IF('SKU and Price builder'!B3="Bodypack Converter",1,IF('SKU and Price builder'!B3="Plus",IF('SKU and Price builder'!B4="2 channels",0,IF('SKU and Price builder'!B4="4 channels",0,"")),""))</f>
        <v/>
      </c>
    </row>
    <row r="16" spans="1:1" ht="15" customHeight="1" x14ac:dyDescent="0.25">
      <c r="A16" s="67" t="str">
        <f>IF('SKU and Price builder'!B3="Bodypack Converter","",IF('SKU and Price builder'!B3="Plus",IF('SKU and Price builder'!B4="2 channels",1,IF('SKU and Price builder'!B4="4 channels",1,"")),""))</f>
        <v/>
      </c>
    </row>
    <row r="17" spans="1:1" ht="15" customHeight="1" x14ac:dyDescent="0.25">
      <c r="A17" s="67" t="str">
        <f>IF('SKU and Price builder'!B3="Bodypack Converter","",IF('SKU and Price builder'!B3="Plus",IF('SKU and Price builder'!B4="2 channels",2,IF('SKU and Price builder'!B4="4 channels",2,"")),""))</f>
        <v/>
      </c>
    </row>
    <row r="18" spans="1:1" ht="15" customHeight="1" x14ac:dyDescent="0.25">
      <c r="A18" s="67" t="str">
        <f>IF('SKU and Price builder'!B3="Bodypack Converter","",IF('SKU and Price builder'!B3="Plus",IF('SKU and Price builder'!B4="2 channels","",IF('SKU and Price builder'!B4="4 channels",3,"")),""))</f>
        <v/>
      </c>
    </row>
    <row r="19" spans="1:1" ht="15" customHeight="1" x14ac:dyDescent="0.25">
      <c r="A19" s="67" t="str">
        <f>IF('SKU and Price builder'!B3="Bodypack Converter","",IF('SKU and Price builder'!B3="Plus",IF('SKU and Price builder'!B4="2 channels","",IF('SKU and Price builder'!B4="4 channels",4,"")),""))</f>
        <v/>
      </c>
    </row>
    <row r="21" spans="1:1" ht="15" customHeight="1" x14ac:dyDescent="0.25">
      <c r="A21" s="71" t="s">
        <v>218</v>
      </c>
    </row>
    <row r="22" spans="1:1" ht="15" customHeight="1" x14ac:dyDescent="0.25">
      <c r="A22" s="67" t="str">
        <f>IF('SKU and Price builder'!B3="Bodypack Converter","Clips cannot be combined with Bodypack Converter",IF('SKU and Price builder'!B3="Plus",IF('SKU and Price builder'!B4="2 channels",0,IF('SKU and Price builder'!B4="4 channels",0,"")),""))</f>
        <v/>
      </c>
    </row>
    <row r="23" spans="1:1" ht="15" customHeight="1" x14ac:dyDescent="0.25">
      <c r="A23" s="67" t="str">
        <f>IF(IF('SKU and Price builder'!B3="Bodypack Converter","",IF('SKU and Price builder'!B3="Plus",IF('SKU and Price builder'!B4="2 channels",1-'SKU and Price builder'!B6,IF('SKU and Price builder'!B4="4 channels",1-'SKU and Price builder'!B6,"")),""))&lt;0,0,IF('SKU and Price builder'!B3="Bodypack Converter","Clips cannot be combined with Bodypack Converter",IF('SKU and Price builder'!B3="Plus",IF('SKU and Price builder'!B4="2 channels",1-'SKU and Price builder'!B6,IF('SKU and Price builder'!B4="4 channels",1-'SKU and Price builder'!B6,"")),"")))</f>
        <v/>
      </c>
    </row>
    <row r="24" spans="1:1" ht="15" customHeight="1" x14ac:dyDescent="0.25">
      <c r="A24" s="67" t="str">
        <f>IF(IF('SKU and Price builder'!B3="Bodypack Converter","",IF('SKU and Price builder'!B3="Plus",IF('SKU and Price builder'!B4="2 channels",2-'SKU and Price builder'!B6,IF('SKU and Price builder'!B4="4 channels",2-'SKU and Price builder'!B6,"")),""))&lt;0,0,IF('SKU and Price builder'!B3="Bodypack Converter","",IF('SKU and Price builder'!B3="Plus",IF('SKU and Price builder'!B4="2 channels",2-'SKU and Price builder'!B6,IF('SKU and Price builder'!B4="4 channels",2-'SKU and Price builder'!B6,"")),"")))</f>
        <v/>
      </c>
    </row>
    <row r="25" spans="1:1" ht="15" customHeight="1" x14ac:dyDescent="0.25">
      <c r="A25" s="67" t="str">
        <f>IF(IF('SKU and Price builder'!B3="Bodypack Converter","",IF('SKU and Price builder'!B3="Plus",IF('SKU and Price builder'!B4="2 channels","",IF('SKU and Price builder'!B4="4 channels",3-'SKU and Price builder'!B6,"")),""))&lt;0,0,IF('SKU and Price builder'!B3="Bodypack Converter","",IF('SKU and Price builder'!B3="Plus",IF('SKU and Price builder'!B4="2 channels","",IF('SKU and Price builder'!B4="4 channels",3-'SKU and Price builder'!B6,"")),"")))</f>
        <v/>
      </c>
    </row>
    <row r="26" spans="1:1" ht="15" customHeight="1" x14ac:dyDescent="0.25">
      <c r="A26" s="67" t="str">
        <f>IF(IF('SKU and Price builder'!B3="Bodypack Converter","",IF('SKU and Price builder'!B3="Plus",IF('SKU and Price builder'!B4="2 channels","",IF('SKU and Price builder'!B4="4 channels",4-'SKU and Price builder'!B6,"")),""))&lt;0,0,IF('SKU and Price builder'!B3="Bodypack Converter","",IF('SKU and Price builder'!B3="Plus",IF('SKU and Price builder'!B4="2 channels","",IF('SKU and Price builder'!B4="4 channels",4-'SKU and Price builder'!B6,"")),"")))</f>
        <v/>
      </c>
    </row>
    <row r="27" spans="1:1" ht="13.2" x14ac:dyDescent="0.25"/>
    <row r="28" spans="1:1" ht="13.2" x14ac:dyDescent="0.25">
      <c r="A28" s="71" t="s">
        <v>219</v>
      </c>
    </row>
    <row r="29" spans="1:1" ht="13.2" x14ac:dyDescent="0.25">
      <c r="A29" s="67" t="str">
        <f>IF('SKU and Price builder'!B3="Bodypack Converter","Sticks cannot be combined with Bodypack Converter",IF('SKU and Price builder'!B3="Plus",IF('SKU and Price builder'!B4="2 channels",0,IF('SKU and Price builder'!B4="4 channels",0,"")),""))</f>
        <v/>
      </c>
    </row>
    <row r="30" spans="1:1" ht="13.2" x14ac:dyDescent="0.25">
      <c r="A30" s="67" t="str">
        <f>IF(IF('SKU and Price builder'!B3="Bodypack Converter","",IF('SKU and Price builder'!B3="Plus",IF('SKU and Price builder'!B4="2 channels",1-'SKU and Price builder'!B6-'SKU and Price builder'!B7,IF('SKU and Price builder'!B4="4 channels",1-'SKU and Price builder'!B6-'SKU and Price builder'!B7,"")),""))&lt;0,0,IF('SKU and Price builder'!B3="Bodypack Converter","Sticks cannot be combined with Bodypack Converter",IF('SKU and Price builder'!B3="Plus",IF('SKU and Price builder'!B4="2 channels",1-'SKU and Price builder'!B6-'SKU and Price builder'!B7,IF('SKU and Price builder'!B4="4 channels",1-'SKU and Price builder'!B6-'SKU and Price builder'!B7,"")),"")))</f>
        <v/>
      </c>
    </row>
    <row r="31" spans="1:1" ht="13.2" x14ac:dyDescent="0.25">
      <c r="A31" s="67" t="str">
        <f>IF(IF('SKU and Price builder'!B3="Bodypack Converter","",IF('SKU and Price builder'!B3="Plus",IF('SKU and Price builder'!B4="2 channels",2-'SKU and Price builder'!B6-'SKU and Price builder'!B7,IF('SKU and Price builder'!B4="4 channels",2-'SKU and Price builder'!B6-'SKU and Price builder'!B7,"")),""))&lt;0,0,IF('SKU and Price builder'!B3="Bodypack Converter","",IF('SKU and Price builder'!B3="Plus",IF('SKU and Price builder'!B4="2 channels",2-'SKU and Price builder'!B6-'SKU and Price builder'!B7,IF('SKU and Price builder'!B4="4 channels",2-'SKU and Price builder'!B6-'SKU and Price builder'!B7,"")),"")))</f>
        <v/>
      </c>
    </row>
    <row r="32" spans="1:1" ht="13.2" x14ac:dyDescent="0.25">
      <c r="A32" s="67" t="str">
        <f>IF(IF('SKU and Price builder'!B3="Bodypack Converter","",IF('SKU and Price builder'!B3="Plus",IF('SKU and Price builder'!B4="2 channels","",IF('SKU and Price builder'!B4="4 channels",3-'SKU and Price builder'!B6-'SKU and Price builder'!B7,"")),""))&lt;0,0,IF('SKU and Price builder'!B3="Bodypack Converter","",IF('SKU and Price builder'!B3="Plus",IF('SKU and Price builder'!B4="2 channels","",IF('SKU and Price builder'!B4="4 channels",3-'SKU and Price builder'!B6-'SKU and Price builder'!B7,"")),"")))</f>
        <v/>
      </c>
    </row>
    <row r="33" spans="1:4" ht="13.2" x14ac:dyDescent="0.25">
      <c r="A33" s="67" t="str">
        <f>IF(IF('SKU and Price builder'!B3="Bodypack Converter","",IF('SKU and Price builder'!B3="Plus",IF('SKU and Price builder'!B4="2 channels","",IF('SKU and Price builder'!B4="4 channels",4-'SKU and Price builder'!B6-'SKU and Price builder'!B7,"")),""))&lt;0,0,IF('SKU and Price builder'!B3="Bodypack Converter","",IF('SKU and Price builder'!B3="Plus",IF('SKU and Price builder'!B4="2 channels","",IF('SKU and Price builder'!B4="4 channels",4-'SKU and Price builder'!B6-'SKU and Price builder'!B7,"")),"")))</f>
        <v/>
      </c>
    </row>
    <row r="34" spans="1:4" ht="13.2" x14ac:dyDescent="0.25"/>
    <row r="35" spans="1:4" ht="13.2" x14ac:dyDescent="0.25">
      <c r="A35" s="71" t="s">
        <v>220</v>
      </c>
    </row>
    <row r="36" spans="1:4" ht="13.2" x14ac:dyDescent="0.25">
      <c r="A36" s="67" t="str">
        <f>IF('SKU and Price builder'!B3="Bodypack Converter","Bodypack Converter cannot be charged wirelessly",IF(AND('SKU and Price builder'!B3="Plus",'SKU and Price builder'!B6&gt;0),'SKU and Price builder'!B6&amp;" Cube charging pads included in the bundle",""))</f>
        <v/>
      </c>
    </row>
    <row r="37" spans="1:4" ht="13.2" x14ac:dyDescent="0.25"/>
    <row r="38" spans="1:4" ht="13.2" x14ac:dyDescent="0.25">
      <c r="A38" s="71" t="s">
        <v>221</v>
      </c>
    </row>
    <row r="39" spans="1:4" ht="13.2" x14ac:dyDescent="0.25">
      <c r="A39" s="67" t="str">
        <f>IF('SKU and Price builder'!B3="Bodypack Converter","Bodypack Converter cannot be charged wirelessly",IF(AND('SKU and Price builder'!B3="Plus",'SKU and Price builder'!B7+'SKU and Price builder'!B8=1),"1 Single Clip and Stick dock included in the bundle",IF(AND('SKU and Price builder'!B3="Plus",'SKU and Price builder'!B7+'SKU and Price builder'!B8=2),"1 Dual Clip and Stick dock included in the bundle",IF(AND('SKU and Price builder'!B3="Plus",'SKU and Price builder'!B7+'SKU and Price builder'!B8=3),"1 Dual and 1 Single Dock are included in the bundle",IF(AND('SKU and Price builder'!B3="Plus",'SKU and Price builder'!B7+'SKU and Price builder'!B8=4),"1 Dual Clip and Stick chargers are included in the bundle","")))))</f>
        <v/>
      </c>
      <c r="D39" s="67" t="s">
        <v>222</v>
      </c>
    </row>
    <row r="40" spans="1:4" ht="13.2" x14ac:dyDescent="0.25">
      <c r="D40" s="67" t="s">
        <v>223</v>
      </c>
    </row>
    <row r="41" spans="1:4" ht="13.2" x14ac:dyDescent="0.25">
      <c r="D41" s="67" t="s">
        <v>224</v>
      </c>
    </row>
    <row r="42" spans="1:4" ht="13.2" x14ac:dyDescent="0.25">
      <c r="A42" s="71" t="s">
        <v>225</v>
      </c>
      <c r="D42" s="67" t="s">
        <v>226</v>
      </c>
    </row>
    <row r="43" spans="1:4" ht="13.2" x14ac:dyDescent="0.25">
      <c r="A43" s="67" t="s">
        <v>45</v>
      </c>
    </row>
    <row r="44" spans="1:4" ht="13.2" x14ac:dyDescent="0.25">
      <c r="A44" s="67" t="s">
        <v>44</v>
      </c>
    </row>
    <row r="45" spans="1:4" ht="13.2" x14ac:dyDescent="0.25">
      <c r="A45" s="67" t="s">
        <v>170</v>
      </c>
    </row>
    <row r="46" spans="1:4" ht="13.2" x14ac:dyDescent="0.25">
      <c r="A46" s="67" t="s">
        <v>173</v>
      </c>
    </row>
    <row r="47" spans="1:4" ht="13.2" x14ac:dyDescent="0.25">
      <c r="A47" s="67" t="s">
        <v>175</v>
      </c>
    </row>
    <row r="49" spans="1:1" ht="13.2" x14ac:dyDescent="0.25">
      <c r="A49" s="71" t="s">
        <v>227</v>
      </c>
    </row>
    <row r="50" spans="1:1" ht="13.2" x14ac:dyDescent="0.25">
      <c r="A50" s="67" t="str">
        <f>IF(SUM('SKU and Price builder'!B6:B8)&gt;1,"Custom Color","")</f>
        <v/>
      </c>
    </row>
    <row r="51" spans="1:1" ht="13.2" x14ac:dyDescent="0.25">
      <c r="A51" s="67" t="str">
        <f>IF(SUM('SKU and Price builder'!B6:B8)&gt;1,"Standard - Red","")</f>
        <v/>
      </c>
    </row>
    <row r="52" spans="1:1" ht="13.2" x14ac:dyDescent="0.25">
      <c r="A52" s="67" t="str">
        <f>IF(SUM('SKU and Price builder'!B6:B8)&gt;1,"Standard - Blue","")</f>
        <v/>
      </c>
    </row>
    <row r="53" spans="1:1" ht="13.2" x14ac:dyDescent="0.25">
      <c r="A53" s="67" t="str">
        <f>IF(SUM('SKU and Price builder'!B6:B8)&gt;1,"Standard - Yellow","")</f>
        <v/>
      </c>
    </row>
    <row r="54" spans="1:1" ht="13.2" x14ac:dyDescent="0.25">
      <c r="A54" s="67" t="str">
        <f>IF(SUM('SKU and Price builder'!B6:B8)&gt;1,"Standard - Navy","")</f>
        <v/>
      </c>
    </row>
    <row r="56" spans="1:1" ht="13.2" x14ac:dyDescent="0.25">
      <c r="A56" s="71" t="s">
        <v>228</v>
      </c>
    </row>
    <row r="57" spans="1:1" ht="13.2" x14ac:dyDescent="0.25">
      <c r="A57" s="67" t="str">
        <f>IF(SUM('SKU and Price builder'!B6:B8)&gt;2,"Custom Color","")</f>
        <v/>
      </c>
    </row>
    <row r="58" spans="1:1" ht="13.2" x14ac:dyDescent="0.25">
      <c r="A58" s="67" t="str">
        <f>IF(SUM('SKU and Price builder'!B6:B8)&gt;2,"Standard - Red","")</f>
        <v/>
      </c>
    </row>
    <row r="59" spans="1:1" ht="13.2" x14ac:dyDescent="0.25">
      <c r="A59" s="67" t="str">
        <f>IF(SUM('SKU and Price builder'!B6:B8)&gt;2,"Standard - Blue","")</f>
        <v/>
      </c>
    </row>
    <row r="60" spans="1:1" ht="13.2" x14ac:dyDescent="0.25">
      <c r="A60" s="67" t="str">
        <f>IF(SUM('SKU and Price builder'!B6:B8)&gt;2,"Standard - Yellow","")</f>
        <v/>
      </c>
    </row>
    <row r="61" spans="1:1" ht="13.2" x14ac:dyDescent="0.25">
      <c r="A61" s="67" t="str">
        <f>IF(SUM('SKU and Price builder'!B6:B8)&gt;2,"Standard - Navy","")</f>
        <v/>
      </c>
    </row>
    <row r="63" spans="1:1" ht="13.2" x14ac:dyDescent="0.25">
      <c r="A63" s="71" t="s">
        <v>229</v>
      </c>
    </row>
    <row r="64" spans="1:1" ht="13.2" x14ac:dyDescent="0.25">
      <c r="A64" s="67" t="str">
        <f>IF(SUM('SKU and Price builder'!B6:B8)&gt;3,"Custom Color","")</f>
        <v/>
      </c>
    </row>
    <row r="65" spans="1:1" ht="13.2" x14ac:dyDescent="0.25">
      <c r="A65" s="67" t="str">
        <f>IF(SUM('SKU and Price builder'!B6:B8)&gt;3,"Standard - Red","")</f>
        <v/>
      </c>
    </row>
    <row r="66" spans="1:1" ht="13.2" x14ac:dyDescent="0.25">
      <c r="A66" s="67" t="str">
        <f>IF(SUM('SKU and Price builder'!B6:B8)&gt;3,"Standard - Blue","")</f>
        <v/>
      </c>
    </row>
    <row r="67" spans="1:1" ht="13.2" x14ac:dyDescent="0.25">
      <c r="A67" s="67" t="str">
        <f>IF(SUM('SKU and Price builder'!B6:B8)&gt;3,"Standard - Yellow","")</f>
        <v/>
      </c>
    </row>
    <row r="68" spans="1:1" ht="13.2" x14ac:dyDescent="0.25">
      <c r="A68" s="67" t="str">
        <f>IF(SUM('SKU and Price builder'!B6:B8)&gt;3,"Standard - Navy","")</f>
        <v/>
      </c>
    </row>
    <row r="71" spans="1:1" ht="13.2" x14ac:dyDescent="0.25">
      <c r="A71" s="71" t="s">
        <v>230</v>
      </c>
    </row>
    <row r="72" spans="1:1" ht="13.2" x14ac:dyDescent="0.25">
      <c r="A72" s="67" t="b">
        <f>IF('SKU and Price builder'!B3="Plus","Yes",IF('SKU and Price builder'!B3="Bodypack Converter","Bodypack Converter cannot be mounted") )</f>
        <v>0</v>
      </c>
    </row>
    <row r="74" spans="1:1" ht="13.2" x14ac:dyDescent="0.25">
      <c r="A74" s="71" t="s">
        <v>231</v>
      </c>
    </row>
    <row r="75" spans="1:1" ht="13.2" x14ac:dyDescent="0.25">
      <c r="A75" s="67" t="b">
        <f>IF('SKU and Price builder'!B3="Plus","Yes",IF('SKU and Price builder'!B3="Bodypack Converter","Bodypack Converter does not have such connection") )</f>
        <v>0</v>
      </c>
    </row>
    <row r="80" spans="1:1" ht="13.2" x14ac:dyDescent="0.25">
      <c r="A80" s="67" t="s">
        <v>232</v>
      </c>
    </row>
    <row r="81" spans="1:2" ht="13.2" x14ac:dyDescent="0.25">
      <c r="A81" s="67" t="s">
        <v>77</v>
      </c>
      <c r="B81" s="67">
        <v>799</v>
      </c>
    </row>
    <row r="82" spans="1:2" ht="13.2" x14ac:dyDescent="0.25">
      <c r="A82" s="67" t="s">
        <v>233</v>
      </c>
      <c r="B82" s="67">
        <v>799</v>
      </c>
    </row>
    <row r="83" spans="1:2" ht="13.2" x14ac:dyDescent="0.25">
      <c r="A83" s="67" t="s">
        <v>234</v>
      </c>
      <c r="B83" s="67">
        <v>1349</v>
      </c>
    </row>
    <row r="84" spans="1:2" ht="13.2" x14ac:dyDescent="0.25">
      <c r="A84" s="67" t="s">
        <v>235</v>
      </c>
      <c r="B84" s="67">
        <v>300</v>
      </c>
    </row>
    <row r="85" spans="1:2" ht="13.2" x14ac:dyDescent="0.25">
      <c r="A85" s="67" t="s">
        <v>236</v>
      </c>
      <c r="B85" s="67">
        <v>550</v>
      </c>
    </row>
    <row r="86" spans="1:2" ht="13.2" x14ac:dyDescent="0.25">
      <c r="A86" s="67" t="s">
        <v>237</v>
      </c>
      <c r="B86" s="67">
        <v>450</v>
      </c>
    </row>
    <row r="87" spans="1:2" ht="13.2" x14ac:dyDescent="0.25">
      <c r="A87" s="67" t="s">
        <v>238</v>
      </c>
      <c r="B87" s="67">
        <v>500</v>
      </c>
    </row>
    <row r="88" spans="1:2" ht="13.2" x14ac:dyDescent="0.25">
      <c r="A88" s="67" t="s">
        <v>239</v>
      </c>
      <c r="B88" s="67">
        <v>50</v>
      </c>
    </row>
  </sheetData>
  <sheetProtection algorithmName="SHA-512" hashValue="QFSj/PM5/mVv/q2kGIKt8fD7cz7ZU+tWMC3HJoeDkfpUttfqsb/ZV/xDZxOkjFjVACIkcBlKdWMbpUn52Nn5ZQ==" saltValue="GqaAbCMyOkf4fy+9wVztig==" spinCount="100000" sheet="1" objects="1" scenarios="1" selectLockedCells="1" selectUnlockedCells="1"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SKU and Price builder</vt:lpstr>
      <vt:lpstr>All SKUs</vt:lpstr>
      <vt:lpstr>SKU Decoder</vt:lpstr>
      <vt:lpstr>SKU Builder</vt:lpstr>
      <vt:lpstr>Input for bundle selection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Martoglio</dc:creator>
  <cp:keywords/>
  <dc:description/>
  <cp:lastModifiedBy>Cindy Turner</cp:lastModifiedBy>
  <cp:revision/>
  <dcterms:created xsi:type="dcterms:W3CDTF">2024-08-07T08:53:47Z</dcterms:created>
  <dcterms:modified xsi:type="dcterms:W3CDTF">2024-10-30T23:12:50Z</dcterms:modified>
  <cp:category/>
  <cp:contentStatus/>
</cp:coreProperties>
</file>